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70" yWindow="65491" windowWidth="21900" windowHeight="15990" activeTab="0"/>
  </bookViews>
  <sheets>
    <sheet name="Dippelbaum" sheetId="1" r:id="rId1"/>
    <sheet name="Formeln" sheetId="2" r:id="rId2"/>
  </sheets>
  <definedNames>
    <definedName name="Z_6E8FA8F6_381C_4E30_84C1_EF2630EE4CA9_.wvu.PrintArea" localSheetId="0" hidden="1">'Dippelbaum'!$A$1:$P$74</definedName>
    <definedName name="Z_6E8FA8F6_381C_4E30_84C1_EF2630EE4CA9_.wvu.Rows" localSheetId="0" hidden="1">'Dippelbaum'!$10:$10</definedName>
    <definedName name="Z_DB97BF51_DA41_4F9E_A0C3_62A4D7D359E1_.wvu.Rows" localSheetId="0" hidden="1">'Dippelbaum'!$10:$10</definedName>
  </definedNames>
  <calcPr fullCalcOnLoad="1"/>
</workbook>
</file>

<file path=xl/sharedStrings.xml><?xml version="1.0" encoding="utf-8"?>
<sst xmlns="http://schemas.openxmlformats.org/spreadsheetml/2006/main" count="428" uniqueCount="281">
  <si>
    <t>Geometrie</t>
  </si>
  <si>
    <t>m</t>
  </si>
  <si>
    <t>cm</t>
  </si>
  <si>
    <t>Lasten</t>
  </si>
  <si>
    <t>Auflast</t>
  </si>
  <si>
    <t>Nutzlast</t>
  </si>
  <si>
    <t>Baustoffe</t>
  </si>
  <si>
    <t>Holz</t>
  </si>
  <si>
    <t>- Lasten ohne Beiwerte eingeben</t>
  </si>
  <si>
    <t>Materialeigenschaften</t>
  </si>
  <si>
    <t>E-Modul Beton</t>
  </si>
  <si>
    <t>E-Modul Holz</t>
  </si>
  <si>
    <t>Schubspannung Holz</t>
  </si>
  <si>
    <t>Querschnittswerte</t>
  </si>
  <si>
    <t>Raumgewicht Beton</t>
  </si>
  <si>
    <t>kN</t>
  </si>
  <si>
    <t>kN/mm</t>
  </si>
  <si>
    <t>Fläche Holz</t>
  </si>
  <si>
    <t>Fläche Beton</t>
  </si>
  <si>
    <t>Trägh.moment Holz</t>
  </si>
  <si>
    <t>Trägh.moment Beton</t>
  </si>
  <si>
    <t>Eigengewicht Tragwerk</t>
  </si>
  <si>
    <t>Hilfsgrössen</t>
  </si>
  <si>
    <t>Abstand Holz-VerbundsSP</t>
  </si>
  <si>
    <t>Abstand Beton-VerbundsSP</t>
  </si>
  <si>
    <t>mm</t>
  </si>
  <si>
    <t>%</t>
  </si>
  <si>
    <t>massgebende Schnittkräfte</t>
  </si>
  <si>
    <t>Spannung Beton oben</t>
  </si>
  <si>
    <t>Spannung Beton unten</t>
  </si>
  <si>
    <t>Spannung Holz oben</t>
  </si>
  <si>
    <t>Spannung Holz unten</t>
  </si>
  <si>
    <t>max. Last auf Verbinder</t>
  </si>
  <si>
    <t>ständiger Anteil NL</t>
  </si>
  <si>
    <t>kNm</t>
  </si>
  <si>
    <t>Ständige Lasten</t>
  </si>
  <si>
    <t>Kurzfristige Lasten</t>
  </si>
  <si>
    <t>Aufteilung der Lasten</t>
  </si>
  <si>
    <t>Ausnützung</t>
  </si>
  <si>
    <t>Abstand</t>
  </si>
  <si>
    <t xml:space="preserve">Grenzwert </t>
  </si>
  <si>
    <t>Spannweite (Lichtmass)</t>
  </si>
  <si>
    <t>Durchbiegung, langfristig</t>
  </si>
  <si>
    <t>Verteilung der Verbundschrauben</t>
  </si>
  <si>
    <t>Abstand in den äusseren Vierteln</t>
  </si>
  <si>
    <t>Abstand in den mittleren Vierteln</t>
  </si>
  <si>
    <t>Anzahl Schrauben pro Balken</t>
  </si>
  <si>
    <t>Stück</t>
  </si>
  <si>
    <t>Wertigkeit Beton (n)</t>
  </si>
  <si>
    <t>Anzahl Reihen pro Balken</t>
  </si>
  <si>
    <t xml:space="preserve"> Abstand</t>
  </si>
  <si>
    <t xml:space="preserve">Abstand </t>
  </si>
  <si>
    <t>Spannungsnachweise</t>
  </si>
  <si>
    <t>Gebrauchtauglichkeit</t>
  </si>
  <si>
    <t>Anzahl Reihen pro Balken:</t>
  </si>
  <si>
    <t>negative Spannungen = Druckspannungen</t>
  </si>
  <si>
    <t>Holzspannungen auf Gebrauchsniveau</t>
  </si>
  <si>
    <t>Betonspannungen auf Gebrauchsniveau</t>
  </si>
  <si>
    <t>Zwischenresultate der Berechnung zu t = 0</t>
  </si>
  <si>
    <t>Zwischenresultate der Berechnung zu t = oo</t>
  </si>
  <si>
    <t>Trag-</t>
  </si>
  <si>
    <t>Gebrauchs-</t>
  </si>
  <si>
    <t>tauglichkeit</t>
  </si>
  <si>
    <t>mm2</t>
  </si>
  <si>
    <t>Verbundquerschnittswerte</t>
  </si>
  <si>
    <t>Trägheitsmoment</t>
  </si>
  <si>
    <t>Durchbiegung elastisch</t>
  </si>
  <si>
    <t>sicherheit</t>
  </si>
  <si>
    <t>- Das Eigengewicht des Tragwerks</t>
  </si>
  <si>
    <t xml:space="preserve">  wird automatisch berücksichtigt</t>
  </si>
  <si>
    <t>Bemessung und Nachweise nach t = 0</t>
  </si>
  <si>
    <t>Bemessung und Nachweise nach t = oo</t>
  </si>
  <si>
    <t>Durchbiegung</t>
  </si>
  <si>
    <t>Durchbiegung, kurzfristig</t>
  </si>
  <si>
    <t>Allgemeingültige Werte</t>
  </si>
  <si>
    <t>Beton   Ø 16mm</t>
  </si>
  <si>
    <t>mitwirkende Betonfläche</t>
  </si>
  <si>
    <t>mitwirkende Betonbreite</t>
  </si>
  <si>
    <t>Projektdaten</t>
  </si>
  <si>
    <t>Objekt:</t>
  </si>
  <si>
    <t>Positionsnummer:</t>
  </si>
  <si>
    <t>Sachbearbeiter:</t>
  </si>
  <si>
    <t>Datum:</t>
  </si>
  <si>
    <t>- Zwischen der Betonplatte und den Holzbauteilen ist zum Schutz des Holzes vor Feuchtigkeit eine Trennlage einzubauen.</t>
  </si>
  <si>
    <t>- Der Zustand der Balkenköpfe im Auflager ist geprüft.</t>
  </si>
  <si>
    <t>Die Gültigkeit der Ergebnisse bedingen die Einhaltung folgender Punkte:</t>
  </si>
  <si>
    <t>1. Der Holzträger wird im Bauzustand (t = 28 Tage) im mittleren Drittel unterstützt oder aufgehängt.</t>
  </si>
  <si>
    <t>. . . und noch ein paar Kriterien:</t>
  </si>
  <si>
    <t>- Bauzustände sind gesondert zu prüfen.</t>
  </si>
  <si>
    <t>- Die Schrauben sind ohne Vorbohren einzudrehen.</t>
  </si>
  <si>
    <t>Gewichte &amp; Spannungen</t>
  </si>
  <si>
    <t>Längsverteilung der Verbundschrauben:</t>
  </si>
  <si>
    <t>Querverteilung der Verbundschrauben:</t>
  </si>
  <si>
    <t>Projektdaten:</t>
  </si>
  <si>
    <t>Pos. Nr:</t>
  </si>
  <si>
    <t>Zuständig:</t>
  </si>
  <si>
    <t>Sonderfall: Eine Abspriessung / Aufhängung im Bauzustand ist nicht möglich.</t>
  </si>
  <si>
    <t>Kurzfristige Last im Bauzustand (Betoniermannschaft und Betonanhäufungen)</t>
  </si>
  <si>
    <t>Schnittkräfte im Bauzustand</t>
  </si>
  <si>
    <t>Biegespannung</t>
  </si>
  <si>
    <t>Biegung Holz</t>
  </si>
  <si>
    <t>Schubspannung</t>
  </si>
  <si>
    <t>Schub Holz</t>
  </si>
  <si>
    <t>Druck Beton oben</t>
  </si>
  <si>
    <t>Spannungen im Endzustand</t>
  </si>
  <si>
    <t>Schnittkräfte inf. Nutz- und Auflast</t>
  </si>
  <si>
    <t>Gebrauchtauglichkeit: Durchbiegungen</t>
  </si>
  <si>
    <t>im Bauzustand</t>
  </si>
  <si>
    <t>unter ständigen Lasten</t>
  </si>
  <si>
    <t>unter kurzfristigen Lasten</t>
  </si>
  <si>
    <t>maximale Durchbiegung</t>
  </si>
  <si>
    <t>Ermittlung der Durchbiegungen:</t>
  </si>
  <si>
    <t>- im Bauzustand:</t>
  </si>
  <si>
    <t>Eigenlast des Tragwerks (ohne Betoniermannschaft und Betonanhäufungen) bezüglich Steifigkeit Holzquerschnitt.</t>
  </si>
  <si>
    <t>- unter ständigen Lasten:</t>
  </si>
  <si>
    <t>Eigenlast + Auflast + langfristige Nutzlast bezüglich Steifigkeit Verbundquerschnitt langfristig.</t>
  </si>
  <si>
    <t>- unter kurzfristigen Lasten:</t>
  </si>
  <si>
    <t>Kurzfristige Nutzlast bezüglich Steifigkeit Verbundquerschnitt kurzfristig.</t>
  </si>
  <si>
    <t>- maximale Durchbiegung:</t>
  </si>
  <si>
    <t>Summe der Teildurchbiegungen.</t>
  </si>
  <si>
    <t>Spannungen im Bauzustand (Gebrauch)</t>
  </si>
  <si>
    <t>Betonspannung auf Gebrauchsniveau</t>
  </si>
  <si>
    <t>Schnittkräfte inf. Eigenlast</t>
  </si>
  <si>
    <t>Betondruck fcd</t>
  </si>
  <si>
    <t>Holzbiegezug ftd</t>
  </si>
  <si>
    <t>Schub Holz Taud</t>
  </si>
  <si>
    <t>Moment Md</t>
  </si>
  <si>
    <t>Querkraft Vd</t>
  </si>
  <si>
    <t>Druckspannung Beton frcd</t>
  </si>
  <si>
    <t>Biegespannung Holz fmrd</t>
  </si>
  <si>
    <t>Schubspannung Holz fvrd</t>
  </si>
  <si>
    <t>Verbundelement Trd</t>
  </si>
  <si>
    <t>Verbundelement Td</t>
  </si>
  <si>
    <t>Last auf Verbinder Td</t>
  </si>
  <si>
    <t>Spannungen Design</t>
  </si>
  <si>
    <t>N/mm²</t>
  </si>
  <si>
    <t>Formeln zur Bemessung eines Holz- Beton- Verbundträgers</t>
  </si>
  <si>
    <t>Querschnittswerte ohne Verbund für Eigengewicht</t>
  </si>
  <si>
    <t>Beton</t>
  </si>
  <si>
    <t>Einwirkungen auf das Tragwerk</t>
  </si>
  <si>
    <t>Total kurzfristige Last pro Träger [kN / m]</t>
  </si>
  <si>
    <r>
      <t>p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= 1,5 * q</t>
    </r>
    <r>
      <rPr>
        <vertAlign val="subscript"/>
        <sz val="14"/>
        <color indexed="8"/>
        <rFont val="Calibri"/>
        <family val="2"/>
      </rPr>
      <t>k</t>
    </r>
    <r>
      <rPr>
        <sz val="14"/>
        <color indexed="8"/>
        <rFont val="Calibri"/>
        <family val="2"/>
      </rPr>
      <t xml:space="preserve"> * (1 - </t>
    </r>
    <r>
      <rPr>
        <sz val="14"/>
        <color indexed="8"/>
        <rFont val="Symbol"/>
        <family val="1"/>
      </rPr>
      <t>l</t>
    </r>
    <r>
      <rPr>
        <sz val="14"/>
        <color indexed="8"/>
        <rFont val="Calibri"/>
        <family val="2"/>
      </rPr>
      <t>) * b</t>
    </r>
    <r>
      <rPr>
        <vertAlign val="subscript"/>
        <sz val="14"/>
        <color indexed="8"/>
        <rFont val="Calibri"/>
        <family val="2"/>
      </rPr>
      <t>c</t>
    </r>
  </si>
  <si>
    <t>Total langfristige Last pro Träger [kN / m]</t>
  </si>
  <si>
    <r>
      <t>p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= (1,35 * (g</t>
    </r>
    <r>
      <rPr>
        <vertAlign val="subscript"/>
        <sz val="14"/>
        <color indexed="8"/>
        <rFont val="Calibri"/>
        <family val="2"/>
      </rPr>
      <t>k,1</t>
    </r>
    <r>
      <rPr>
        <sz val="14"/>
        <color indexed="8"/>
        <rFont val="Calibri"/>
        <family val="2"/>
      </rPr>
      <t xml:space="preserve"> + g</t>
    </r>
    <r>
      <rPr>
        <vertAlign val="subscript"/>
        <sz val="14"/>
        <color indexed="8"/>
        <rFont val="Calibri"/>
        <family val="2"/>
      </rPr>
      <t>k,2</t>
    </r>
    <r>
      <rPr>
        <sz val="14"/>
        <color indexed="8"/>
        <rFont val="Calibri"/>
        <family val="2"/>
      </rPr>
      <t>) + 1,5 * q</t>
    </r>
    <r>
      <rPr>
        <vertAlign val="subscript"/>
        <sz val="14"/>
        <color indexed="8"/>
        <rFont val="Calibri"/>
        <family val="2"/>
      </rPr>
      <t>k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l</t>
    </r>
    <r>
      <rPr>
        <sz val="14"/>
        <color indexed="8"/>
        <rFont val="Calibri"/>
        <family val="2"/>
      </rPr>
      <t>) * b</t>
    </r>
    <r>
      <rPr>
        <vertAlign val="subscript"/>
        <sz val="14"/>
        <color indexed="8"/>
        <rFont val="Calibri"/>
        <family val="2"/>
      </rPr>
      <t>c</t>
    </r>
  </si>
  <si>
    <t>Ermittliung der Gesamtsteifigkeiten</t>
  </si>
  <si>
    <t>Die Ermittlung der Steifigkeiten erfolgt zum Zeitpunkt t = 0 und t = unendlich. Für beide Zeitpunkte wird jeweils die Steifigkeitsverteilung für die Gebrauchstauglichkeit als auch für die Tragsicherheit ermittelt.</t>
  </si>
  <si>
    <t>Indizes:                                                                              s = Zeitpunkt t = 0 - kurzfristig                                   l = Zeitpunkt t = unendlich - langfristig                 1 = Gebrauchstauglichkeit                                          2 = Tragfähigkeit</t>
  </si>
  <si>
    <t>Rechnerischer Abstand der Verbundelemente unter der Annahme dass in den äußeren Vierteln doppelt so viele Elemente eingebaut sind wie in den mittleren Vierteln</t>
  </si>
  <si>
    <r>
      <t>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= (0,75 * a</t>
    </r>
    <r>
      <rPr>
        <vertAlign val="subscript"/>
        <sz val="14"/>
        <color indexed="8"/>
        <rFont val="Calibri"/>
        <family val="2"/>
      </rPr>
      <t>ra</t>
    </r>
    <r>
      <rPr>
        <sz val="14"/>
        <color indexed="8"/>
        <rFont val="Calibri"/>
        <family val="2"/>
      </rPr>
      <t xml:space="preserve"> + 0,25 * a</t>
    </r>
    <r>
      <rPr>
        <vertAlign val="subscript"/>
        <sz val="14"/>
        <color indexed="8"/>
        <rFont val="Calibri"/>
        <family val="2"/>
      </rPr>
      <t>ri</t>
    </r>
    <r>
      <rPr>
        <sz val="14"/>
        <color indexed="8"/>
        <rFont val="Calibri"/>
        <family val="2"/>
      </rPr>
      <t>) / n</t>
    </r>
    <r>
      <rPr>
        <vertAlign val="subscript"/>
        <sz val="14"/>
        <color indexed="8"/>
        <rFont val="Calibri"/>
        <family val="2"/>
      </rPr>
      <t>r</t>
    </r>
  </si>
  <si>
    <t>Anfangsverschiebungsmodul einer Schraube im Zusatnd der  Gebrauchstauglichkeit zum Zeitpunkt t = 0 [N / mm]</t>
  </si>
  <si>
    <t>Anfangsverschiebungsmodul einer Schraube im Zusatnd der  Tragfähigkeitkeit zum Zeitpunkt t = 0 [N / mm]</t>
  </si>
  <si>
    <r>
      <t>C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= C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* 2 / 3</t>
    </r>
  </si>
  <si>
    <t>Anfangsverschiebungsmodul einer Schraube im Zusatnd der  Gebrauchstauglichkeit zum Zeitpunkt t = unendlich [N / mm]</t>
  </si>
  <si>
    <t>Anfangsverschiebungsmodul einer Schraube im Zusatnd der  Tragfähigkeitkeit zum Zeitpunkt t = unendlich [N / mm]</t>
  </si>
  <si>
    <t>Bestimmung der mitwirkenden Breite der Betonplatte</t>
  </si>
  <si>
    <r>
      <t>b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= 0,25 * l wenn b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&gt; 0,25 * l; ansonsten b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= b</t>
    </r>
    <r>
      <rPr>
        <vertAlign val="subscript"/>
        <sz val="14"/>
        <color indexed="8"/>
        <rFont val="Calibri"/>
        <family val="2"/>
      </rPr>
      <t>c</t>
    </r>
  </si>
  <si>
    <t>Trägheitsmoment Holz</t>
  </si>
  <si>
    <t>Trägheitsmoment Beton</t>
  </si>
  <si>
    <r>
      <t>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= b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>³ / 12</t>
    </r>
  </si>
  <si>
    <t>Querschnittsfläche Beton</t>
  </si>
  <si>
    <r>
      <t>A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= b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h</t>
    </r>
    <r>
      <rPr>
        <vertAlign val="subscript"/>
        <sz val="14"/>
        <color indexed="8"/>
        <rFont val="Calibri"/>
        <family val="2"/>
      </rPr>
      <t>c</t>
    </r>
  </si>
  <si>
    <t xml:space="preserve">Verhältnis der E- Moduli: </t>
  </si>
  <si>
    <r>
      <t>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/ E</t>
    </r>
    <r>
      <rPr>
        <vertAlign val="subscript"/>
        <sz val="14"/>
        <color indexed="8"/>
        <rFont val="Calibri"/>
        <family val="2"/>
      </rPr>
      <t>t,s</t>
    </r>
  </si>
  <si>
    <r>
      <t>n</t>
    </r>
    <r>
      <rPr>
        <vertAlign val="subscript"/>
        <sz val="14"/>
        <color indexed="8"/>
        <rFont val="Calibri"/>
        <family val="2"/>
      </rPr>
      <t xml:space="preserve">l </t>
    </r>
    <r>
      <rPr>
        <sz val="14"/>
        <color indexed="8"/>
        <rFont val="Calibri"/>
        <family val="2"/>
      </rPr>
      <t>= E</t>
    </r>
    <r>
      <rPr>
        <vertAlign val="subscript"/>
        <sz val="14"/>
        <color indexed="8"/>
        <rFont val="Calibri"/>
        <family val="2"/>
      </rPr>
      <t>c,l</t>
    </r>
    <r>
      <rPr>
        <sz val="14"/>
        <color indexed="8"/>
        <rFont val="Calibri"/>
        <family val="2"/>
      </rPr>
      <t xml:space="preserve"> / E</t>
    </r>
    <r>
      <rPr>
        <vertAlign val="subscript"/>
        <sz val="14"/>
        <color indexed="8"/>
        <rFont val="Calibri"/>
        <family val="2"/>
      </rPr>
      <t>t,l</t>
    </r>
  </si>
  <si>
    <r>
      <t>k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² * 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(l² * C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>)</t>
    </r>
  </si>
  <si>
    <r>
      <t>k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² * 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(l² * C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>)</t>
    </r>
  </si>
  <si>
    <r>
      <t>k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² * E</t>
    </r>
    <r>
      <rPr>
        <vertAlign val="subscript"/>
        <sz val="14"/>
        <color indexed="8"/>
        <rFont val="Calibri"/>
        <family val="2"/>
      </rPr>
      <t xml:space="preserve">c,l </t>
    </r>
    <r>
      <rPr>
        <sz val="14"/>
        <color indexed="8"/>
        <rFont val="Calibri"/>
        <family val="2"/>
      </rPr>
      <t>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(l² * C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>)</t>
    </r>
  </si>
  <si>
    <r>
      <t>k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² * E</t>
    </r>
    <r>
      <rPr>
        <vertAlign val="subscript"/>
        <sz val="14"/>
        <color indexed="8"/>
        <rFont val="Calibri"/>
        <family val="2"/>
      </rPr>
      <t>c,l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(l² * C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>)</t>
    </r>
  </si>
  <si>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= 1 / ( 1 + k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>)</t>
    </r>
  </si>
  <si>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= 1 / ( 1 + k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>)</t>
    </r>
  </si>
  <si>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= 1 / ( 1 + k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>)</t>
    </r>
  </si>
  <si>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= 1 / ( 1 + k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>)</t>
    </r>
  </si>
  <si>
    <t>Abstand Verbundschwerpunkt zum Schwerpunkt Holz</t>
  </si>
  <si>
    <t>Abstand Verbundschwerpunkt zum Schwerpunkt Beton</t>
  </si>
  <si>
    <t>Trägheitsmoment des Verbundquerschnitts</t>
  </si>
  <si>
    <r>
      <t>I</t>
    </r>
    <r>
      <rPr>
        <vertAlign val="subscript"/>
        <sz val="14"/>
        <color indexed="8"/>
        <rFont val="Calibri"/>
        <family val="2"/>
      </rPr>
      <t>v,s,1</t>
    </r>
    <r>
      <rPr>
        <sz val="14"/>
        <color indexed="8"/>
        <rFont val="Calibri"/>
        <family val="2"/>
      </rPr>
      <t xml:space="preserve"> = 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t,s,1</t>
    </r>
    <r>
      <rPr>
        <sz val="14"/>
        <color indexed="8"/>
        <rFont val="Calibri"/>
        <family val="2"/>
      </rPr>
      <t>² +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c,s,1</t>
    </r>
    <r>
      <rPr>
        <sz val="14"/>
        <color indexed="8"/>
        <rFont val="Calibri"/>
        <family val="2"/>
      </rPr>
      <t>²</t>
    </r>
  </si>
  <si>
    <r>
      <t>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 xml:space="preserve"> = 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t,s,2</t>
    </r>
    <r>
      <rPr>
        <sz val="14"/>
        <color indexed="8"/>
        <rFont val="Calibri"/>
        <family val="2"/>
      </rPr>
      <t>² +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>²</t>
    </r>
  </si>
  <si>
    <r>
      <t>I</t>
    </r>
    <r>
      <rPr>
        <vertAlign val="subscript"/>
        <sz val="14"/>
        <color indexed="8"/>
        <rFont val="Calibri"/>
        <family val="2"/>
      </rPr>
      <t>v,l,1</t>
    </r>
    <r>
      <rPr>
        <sz val="14"/>
        <color indexed="8"/>
        <rFont val="Calibri"/>
        <family val="2"/>
      </rPr>
      <t xml:space="preserve"> = 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t,l,1</t>
    </r>
    <r>
      <rPr>
        <sz val="14"/>
        <color indexed="8"/>
        <rFont val="Calibri"/>
        <family val="2"/>
      </rPr>
      <t>² +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c,l,1</t>
    </r>
    <r>
      <rPr>
        <sz val="14"/>
        <color indexed="8"/>
        <rFont val="Calibri"/>
        <family val="2"/>
      </rPr>
      <t>²</t>
    </r>
  </si>
  <si>
    <r>
      <t>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 xml:space="preserve"> = 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t,l,2</t>
    </r>
    <r>
      <rPr>
        <sz val="14"/>
        <color indexed="8"/>
        <rFont val="Calibri"/>
        <family val="2"/>
      </rPr>
      <t>² +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I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>²</t>
    </r>
  </si>
  <si>
    <t>Für die Berechnung der maximalen Last auf die Verbundelemente wird der Abstand wieder auf den Abstand in den äusseren Vierteln zurückgesetzt</t>
  </si>
  <si>
    <r>
      <t>a</t>
    </r>
    <r>
      <rPr>
        <vertAlign val="subscript"/>
        <sz val="14"/>
        <color indexed="8"/>
        <rFont val="Calibri"/>
        <family val="2"/>
      </rPr>
      <t>sc,d</t>
    </r>
    <r>
      <rPr>
        <sz val="14"/>
        <color indexed="8"/>
        <rFont val="Calibri"/>
        <family val="2"/>
      </rPr>
      <t xml:space="preserve"> = a</t>
    </r>
    <r>
      <rPr>
        <vertAlign val="subscript"/>
        <sz val="14"/>
        <color indexed="8"/>
        <rFont val="Calibri"/>
        <family val="2"/>
      </rPr>
      <t>sc</t>
    </r>
    <r>
      <rPr>
        <sz val="14"/>
        <color indexed="8"/>
        <rFont val="Calibri"/>
        <family val="2"/>
      </rPr>
      <t xml:space="preserve"> / 1,25</t>
    </r>
  </si>
  <si>
    <t>Last auf Verbundelemente</t>
  </si>
  <si>
    <t>Einwirkung auf die Schrauben</t>
  </si>
  <si>
    <r>
      <t>T</t>
    </r>
    <r>
      <rPr>
        <vertAlign val="subscript"/>
        <sz val="14"/>
        <color indexed="8"/>
        <rFont val="Calibri"/>
        <family val="2"/>
      </rPr>
      <t>s, d</t>
    </r>
    <r>
      <rPr>
        <sz val="14"/>
        <color indexed="8"/>
        <rFont val="Calibri"/>
        <family val="2"/>
      </rPr>
      <t xml:space="preserve"> = (V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+ V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)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sc,d</t>
    </r>
  </si>
  <si>
    <r>
      <t>T</t>
    </r>
    <r>
      <rPr>
        <vertAlign val="subscript"/>
        <sz val="14"/>
        <color indexed="8"/>
        <rFont val="Calibri"/>
        <family val="2"/>
      </rPr>
      <t>l, d</t>
    </r>
    <r>
      <rPr>
        <sz val="14"/>
        <color indexed="8"/>
        <rFont val="Calibri"/>
        <family val="2"/>
      </rPr>
      <t xml:space="preserve"> = (V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+ V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)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sc,d</t>
    </r>
  </si>
  <si>
    <t>Charakteristische Schraubentragfähigkeit nach Zulassung</t>
  </si>
  <si>
    <r>
      <t>Design Schraubentragfähigkeit für k</t>
    </r>
    <r>
      <rPr>
        <vertAlign val="subscript"/>
        <sz val="12"/>
        <color indexed="8"/>
        <rFont val="Calibri"/>
        <family val="2"/>
      </rPr>
      <t>led</t>
    </r>
    <r>
      <rPr>
        <sz val="12"/>
        <color indexed="8"/>
        <rFont val="Calibri"/>
        <family val="2"/>
      </rPr>
      <t xml:space="preserve"> mittel und Nutzungsklasse 1</t>
    </r>
  </si>
  <si>
    <t>Ermittlung der maßgebenden Belastung</t>
  </si>
  <si>
    <t>Querkraft am Auflager</t>
  </si>
  <si>
    <r>
      <t>V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=  p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* l / 2</t>
    </r>
  </si>
  <si>
    <r>
      <t>V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=  p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* l / 2</t>
    </r>
  </si>
  <si>
    <t>Moment in Feldmitte</t>
  </si>
  <si>
    <r>
      <t>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=  p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* l² / 8</t>
    </r>
  </si>
  <si>
    <r>
      <t>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=  p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 xml:space="preserve"> * l² / 8</t>
    </r>
  </si>
  <si>
    <t>Ermittlung der Spannungen</t>
  </si>
  <si>
    <t>Spannungen im Beton</t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</si>
  <si>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c,s,o,d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>/ 2) / 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>]</t>
    </r>
  </si>
  <si>
    <t>o = oben</t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</si>
  <si>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c,s,u,d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 xml:space="preserve"> - h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>/ 2) / 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>]</t>
    </r>
  </si>
  <si>
    <t>u = unten</t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</si>
  <si>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c,l,o,d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>/ 2) / 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>]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</si>
  <si>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c,l,u,d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 xml:space="preserve"> - h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>/ 2) / 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>]</t>
    </r>
  </si>
  <si>
    <t>Spannungen im Holz</t>
  </si>
  <si>
    <r>
      <rPr>
        <sz val="14"/>
        <color indexed="8"/>
        <rFont val="Symbol"/>
        <family val="1"/>
      </rPr>
      <t>t</t>
    </r>
    <r>
      <rPr>
        <vertAlign val="subscript"/>
        <sz val="14"/>
        <color indexed="8"/>
        <rFont val="Calibri"/>
        <family val="2"/>
      </rPr>
      <t>td</t>
    </r>
    <r>
      <rPr>
        <sz val="14"/>
        <color indexed="8"/>
        <rFont val="Calibri"/>
        <family val="2"/>
      </rPr>
      <t xml:space="preserve"> = 1,5 * (V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* V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/ (b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</si>
  <si>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t>Durchbiegung zum Zeitpunkt unendlich</t>
  </si>
  <si>
    <r>
      <rPr>
        <sz val="14"/>
        <color indexed="8"/>
        <rFont val="Symbol"/>
        <family val="1"/>
      </rPr>
      <t>d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= 5 * [p</t>
    </r>
    <r>
      <rPr>
        <vertAlign val="subscript"/>
        <sz val="14"/>
        <color indexed="8"/>
        <rFont val="Calibri"/>
        <family val="2"/>
      </rPr>
      <t>l,k</t>
    </r>
    <r>
      <rPr>
        <sz val="14"/>
        <color indexed="8"/>
        <rFont val="Calibri"/>
        <family val="2"/>
      </rPr>
      <t xml:space="preserve"> / (I</t>
    </r>
    <r>
      <rPr>
        <vertAlign val="subscript"/>
        <sz val="14"/>
        <color indexed="8"/>
        <rFont val="Calibri"/>
        <family val="2"/>
      </rPr>
      <t>v,l,1</t>
    </r>
    <r>
      <rPr>
        <sz val="14"/>
        <color indexed="8"/>
        <rFont val="Calibri"/>
        <family val="2"/>
      </rPr>
      <t xml:space="preserve"> * E</t>
    </r>
    <r>
      <rPr>
        <vertAlign val="subscript"/>
        <sz val="14"/>
        <color indexed="8"/>
        <rFont val="Calibri"/>
        <family val="2"/>
      </rPr>
      <t>t,l</t>
    </r>
    <r>
      <rPr>
        <sz val="14"/>
        <color indexed="8"/>
        <rFont val="Calibri"/>
        <family val="2"/>
      </rPr>
      <t>) + p</t>
    </r>
    <r>
      <rPr>
        <vertAlign val="subscript"/>
        <sz val="14"/>
        <color indexed="8"/>
        <rFont val="Calibri"/>
        <family val="2"/>
      </rPr>
      <t>s,k</t>
    </r>
    <r>
      <rPr>
        <sz val="14"/>
        <color indexed="8"/>
        <rFont val="Calibri"/>
        <family val="2"/>
      </rPr>
      <t xml:space="preserve"> / (I</t>
    </r>
    <r>
      <rPr>
        <vertAlign val="subscript"/>
        <sz val="14"/>
        <color indexed="8"/>
        <rFont val="Calibri"/>
        <family val="2"/>
      </rPr>
      <t>v,s,1</t>
    </r>
    <r>
      <rPr>
        <sz val="14"/>
        <color indexed="8"/>
        <rFont val="Calibri"/>
        <family val="2"/>
      </rPr>
      <t xml:space="preserve"> * E</t>
    </r>
    <r>
      <rPr>
        <vertAlign val="subscript"/>
        <sz val="14"/>
        <color indexed="8"/>
        <rFont val="Calibri"/>
        <family val="2"/>
      </rPr>
      <t>t,s</t>
    </r>
    <r>
      <rPr>
        <sz val="14"/>
        <color indexed="8"/>
        <rFont val="Calibri"/>
        <family val="2"/>
      </rPr>
      <t>)] * l</t>
    </r>
    <r>
      <rPr>
        <vertAlign val="superscript"/>
        <sz val="14"/>
        <color indexed="8"/>
        <rFont val="Calibri"/>
        <family val="2"/>
      </rPr>
      <t>4</t>
    </r>
    <r>
      <rPr>
        <sz val="14"/>
        <color indexed="8"/>
        <rFont val="Calibri"/>
        <family val="2"/>
      </rPr>
      <t xml:space="preserve"> / 384</t>
    </r>
  </si>
  <si>
    <r>
      <t>C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= 130 * l</t>
    </r>
    <r>
      <rPr>
        <vertAlign val="subscript"/>
        <sz val="14"/>
        <color indexed="8"/>
        <rFont val="Calibri"/>
        <family val="2"/>
      </rPr>
      <t>ef</t>
    </r>
  </si>
  <si>
    <r>
      <t>C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= C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/ 1,6</t>
    </r>
  </si>
  <si>
    <r>
      <t>C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= C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/ 1,6</t>
    </r>
  </si>
  <si>
    <t xml:space="preserve">E- Moduli Beton gemäß EC2: </t>
  </si>
  <si>
    <r>
      <t>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aus EC2</t>
    </r>
  </si>
  <si>
    <r>
      <t>E</t>
    </r>
    <r>
      <rPr>
        <vertAlign val="subscript"/>
        <sz val="14"/>
        <color indexed="8"/>
        <rFont val="Calibri"/>
        <family val="2"/>
      </rPr>
      <t>c,l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c,s</t>
    </r>
    <r>
      <rPr>
        <sz val="14"/>
        <color indexed="8"/>
        <rFont val="Calibri"/>
        <family val="2"/>
      </rPr>
      <t xml:space="preserve"> / 3,5</t>
    </r>
  </si>
  <si>
    <t xml:space="preserve">E- Moduli Holz gemäß EC5: </t>
  </si>
  <si>
    <r>
      <t>E</t>
    </r>
    <r>
      <rPr>
        <vertAlign val="subscript"/>
        <sz val="14"/>
        <color indexed="8"/>
        <rFont val="Calibri"/>
        <family val="2"/>
      </rPr>
      <t>t,s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0,mean</t>
    </r>
  </si>
  <si>
    <r>
      <t>E</t>
    </r>
    <r>
      <rPr>
        <vertAlign val="subscript"/>
        <sz val="14"/>
        <color indexed="8"/>
        <rFont val="Calibri"/>
        <family val="2"/>
      </rPr>
      <t>t,l</t>
    </r>
    <r>
      <rPr>
        <sz val="14"/>
        <color indexed="8"/>
        <rFont val="Calibri"/>
        <family val="2"/>
      </rPr>
      <t xml:space="preserve"> = E</t>
    </r>
    <r>
      <rPr>
        <vertAlign val="subscript"/>
        <sz val="14"/>
        <color indexed="8"/>
        <rFont val="Calibri"/>
        <family val="2"/>
      </rPr>
      <t>t,s</t>
    </r>
    <r>
      <rPr>
        <sz val="14"/>
        <color indexed="8"/>
        <rFont val="Calibri"/>
        <family val="2"/>
      </rPr>
      <t xml:space="preserve"> / 1,6</t>
    </r>
  </si>
  <si>
    <r>
      <t xml:space="preserve">Hillfsgröße </t>
    </r>
    <r>
      <rPr>
        <sz val="12"/>
        <color indexed="8"/>
        <rFont val="Symbol"/>
        <family val="1"/>
      </rPr>
      <t>g</t>
    </r>
    <r>
      <rPr>
        <sz val="12"/>
        <color indexed="8"/>
        <rFont val="Calibri"/>
        <family val="2"/>
      </rPr>
      <t xml:space="preserve">:                                          </t>
    </r>
  </si>
  <si>
    <t xml:space="preserve">Hillfsgröße k:                                          </t>
  </si>
  <si>
    <r>
      <t>T</t>
    </r>
    <r>
      <rPr>
        <vertAlign val="subscript"/>
        <sz val="14"/>
        <color indexed="8"/>
        <rFont val="Calibri"/>
        <family val="2"/>
      </rPr>
      <t>R,d</t>
    </r>
    <r>
      <rPr>
        <sz val="14"/>
        <color indexed="8"/>
        <rFont val="Calibri"/>
        <family val="2"/>
      </rPr>
      <t xml:space="preserve"> = 0,8 * T</t>
    </r>
    <r>
      <rPr>
        <vertAlign val="subscript"/>
        <sz val="14"/>
        <color indexed="8"/>
        <rFont val="Calibri"/>
        <family val="2"/>
      </rPr>
      <t>R,k</t>
    </r>
    <r>
      <rPr>
        <sz val="14"/>
        <color indexed="8"/>
        <rFont val="Calibri"/>
        <family val="2"/>
      </rPr>
      <t xml:space="preserve"> / 1,3</t>
    </r>
  </si>
  <si>
    <r>
      <t>T</t>
    </r>
    <r>
      <rPr>
        <vertAlign val="subscript"/>
        <sz val="14"/>
        <color indexed="8"/>
        <rFont val="Calibri"/>
        <family val="2"/>
      </rPr>
      <t>R,k</t>
    </r>
    <r>
      <rPr>
        <sz val="14"/>
        <color indexed="8"/>
        <rFont val="Calibri"/>
        <family val="2"/>
      </rPr>
      <t xml:space="preserve"> = 83 * l</t>
    </r>
    <r>
      <rPr>
        <vertAlign val="subscript"/>
        <sz val="14"/>
        <color indexed="8"/>
        <rFont val="Calibri"/>
        <family val="2"/>
      </rPr>
      <t>ef</t>
    </r>
    <r>
      <rPr>
        <sz val="14"/>
        <color indexed="8"/>
        <rFont val="Calibri"/>
        <family val="2"/>
      </rPr>
      <t xml:space="preserve"> * (</t>
    </r>
    <r>
      <rPr>
        <sz val="14"/>
        <color indexed="8"/>
        <rFont val="Symbol"/>
        <family val="1"/>
      </rPr>
      <t>r</t>
    </r>
    <r>
      <rPr>
        <vertAlign val="subscript"/>
        <sz val="14"/>
        <color indexed="8"/>
        <rFont val="Calibri"/>
        <family val="2"/>
      </rPr>
      <t>k</t>
    </r>
    <r>
      <rPr>
        <sz val="14"/>
        <color indexed="8"/>
        <rFont val="Calibri"/>
        <family val="2"/>
      </rPr>
      <t xml:space="preserve"> / 350) ^ 0,8</t>
    </r>
  </si>
  <si>
    <t>in der Nutzungsklasse 1 und Lasteinwirkungsdauer kled mittel</t>
  </si>
  <si>
    <t>Die Berechnung wird mit einer Trennlage für kled Mittel und Nutzungsklasse 1 geführt.</t>
  </si>
  <si>
    <t>kN/mm²</t>
  </si>
  <si>
    <t xml:space="preserve">Das Eigengewicht des Tragwerks wird mit </t>
  </si>
  <si>
    <r>
      <t>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= (2*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)² * 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/8</t>
    </r>
  </si>
  <si>
    <r>
      <t>A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= b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* (h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 - A</t>
    </r>
    <r>
      <rPr>
        <vertAlign val="subscript"/>
        <sz val="14"/>
        <color indexed="8"/>
        <rFont val="Calibri"/>
        <family val="2"/>
      </rPr>
      <t>t</t>
    </r>
  </si>
  <si>
    <r>
      <t>I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= 0,11 * h</t>
    </r>
    <r>
      <rPr>
        <vertAlign val="subscript"/>
        <sz val="14"/>
        <color indexed="8"/>
        <rFont val="Calibri"/>
        <family val="2"/>
      </rPr>
      <t>t</t>
    </r>
    <r>
      <rPr>
        <vertAlign val="superscript"/>
        <sz val="14"/>
        <color indexed="8"/>
        <rFont val="Calibri"/>
        <family val="2"/>
      </rPr>
      <t>4</t>
    </r>
    <r>
      <rPr>
        <sz val="14"/>
        <color indexed="8"/>
        <rFont val="Calibri"/>
        <family val="2"/>
      </rPr>
      <t xml:space="preserve"> </t>
    </r>
  </si>
  <si>
    <r>
      <t>a</t>
    </r>
    <r>
      <rPr>
        <vertAlign val="subscript"/>
        <sz val="14"/>
        <color indexed="8"/>
        <rFont val="Calibri"/>
        <family val="2"/>
      </rPr>
      <t>t,s,1</t>
    </r>
    <r>
      <rPr>
        <sz val="14"/>
        <color indexed="8"/>
        <rFont val="Calibri"/>
        <family val="2"/>
      </rPr>
      <t xml:space="preserve"> = [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(0,5756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 *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2)] / (n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s,1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</si>
  <si>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r>
      <t>a</t>
    </r>
    <r>
      <rPr>
        <vertAlign val="subscript"/>
        <sz val="14"/>
        <color indexed="8"/>
        <rFont val="Calibri"/>
        <family val="2"/>
      </rPr>
      <t>t,s,2</t>
    </r>
    <r>
      <rPr>
        <sz val="14"/>
        <color indexed="8"/>
        <rFont val="Calibri"/>
        <family val="2"/>
      </rPr>
      <t xml:space="preserve"> = [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(0,5756 * ht  * hc / 2)] / (n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s,2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</si>
  <si>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r>
      <t>a</t>
    </r>
    <r>
      <rPr>
        <vertAlign val="subscript"/>
        <sz val="14"/>
        <color indexed="8"/>
        <rFont val="Calibri"/>
        <family val="2"/>
      </rPr>
      <t>t,l,1</t>
    </r>
    <r>
      <rPr>
        <sz val="14"/>
        <color indexed="8"/>
        <rFont val="Calibri"/>
        <family val="2"/>
      </rPr>
      <t xml:space="preserve"> = [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(0,5756 * ht  * hc / 2)] / (n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l,1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</si>
  <si>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r>
      <t>a</t>
    </r>
    <r>
      <rPr>
        <vertAlign val="subscript"/>
        <sz val="14"/>
        <color indexed="8"/>
        <rFont val="Calibri"/>
        <family val="2"/>
      </rPr>
      <t>t,l,2</t>
    </r>
    <r>
      <rPr>
        <sz val="14"/>
        <color indexed="8"/>
        <rFont val="Calibri"/>
        <family val="2"/>
      </rPr>
      <t xml:space="preserve"> = [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 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* (0,5756 * ht  * hc / 2)] / (n</t>
    </r>
    <r>
      <rPr>
        <vertAlign val="subscript"/>
        <sz val="14"/>
        <color indexed="8"/>
        <rFont val="Calibri"/>
        <family val="2"/>
      </rPr>
      <t>l</t>
    </r>
    <r>
      <rPr>
        <sz val="14"/>
        <color indexed="8"/>
        <rFont val="Calibri"/>
        <family val="2"/>
      </rPr>
      <t xml:space="preserve"> * </t>
    </r>
    <r>
      <rPr>
        <sz val="14"/>
        <color indexed="8"/>
        <rFont val="Symbol"/>
        <family val="1"/>
      </rPr>
      <t>g</t>
    </r>
    <r>
      <rPr>
        <vertAlign val="subscript"/>
        <sz val="14"/>
        <color indexed="8"/>
        <rFont val="Calibri"/>
        <family val="2"/>
      </rPr>
      <t>l,2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cm</t>
    </r>
    <r>
      <rPr>
        <sz val="14"/>
        <color indexed="8"/>
        <rFont val="Calibri"/>
        <family val="2"/>
      </rPr>
      <t xml:space="preserve"> +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>)</t>
    </r>
  </si>
  <si>
    <r>
      <t>a</t>
    </r>
    <r>
      <rPr>
        <vertAlign val="subscript"/>
        <sz val="14"/>
        <color indexed="8"/>
        <rFont val="Calibri"/>
        <family val="2"/>
      </rPr>
      <t>c,s,1</t>
    </r>
    <r>
      <rPr>
        <sz val="14"/>
        <color indexed="8"/>
        <rFont val="Calibri"/>
        <family val="2"/>
      </rPr>
      <t xml:space="preserve"> = 0,5756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 + d</t>
    </r>
    <r>
      <rPr>
        <vertAlign val="subscript"/>
        <sz val="14"/>
        <color indexed="8"/>
        <rFont val="Calibri"/>
        <family val="2"/>
      </rPr>
      <t>s</t>
    </r>
    <r>
      <rPr>
        <sz val="14"/>
        <color indexed="8"/>
        <rFont val="Calibri"/>
        <family val="2"/>
      </rPr>
      <t xml:space="preserve"> - a</t>
    </r>
    <r>
      <rPr>
        <vertAlign val="subscript"/>
        <sz val="14"/>
        <color indexed="8"/>
        <rFont val="Calibri"/>
        <family val="2"/>
      </rPr>
      <t>t,s,1</t>
    </r>
  </si>
  <si>
    <r>
      <t>a</t>
    </r>
    <r>
      <rPr>
        <vertAlign val="subscript"/>
        <sz val="14"/>
        <color indexed="8"/>
        <rFont val="Calibri"/>
        <family val="2"/>
      </rPr>
      <t>c,s,2</t>
    </r>
    <r>
      <rPr>
        <sz val="14"/>
        <color indexed="8"/>
        <rFont val="Calibri"/>
        <family val="2"/>
      </rPr>
      <t xml:space="preserve"> = 0,5756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2 - a</t>
    </r>
    <r>
      <rPr>
        <vertAlign val="subscript"/>
        <sz val="14"/>
        <color indexed="8"/>
        <rFont val="Calibri"/>
        <family val="2"/>
      </rPr>
      <t>t,s,2</t>
    </r>
  </si>
  <si>
    <r>
      <t>a</t>
    </r>
    <r>
      <rPr>
        <vertAlign val="subscript"/>
        <sz val="14"/>
        <color indexed="8"/>
        <rFont val="Calibri"/>
        <family val="2"/>
      </rPr>
      <t>c,l,1</t>
    </r>
    <r>
      <rPr>
        <sz val="14"/>
        <color indexed="8"/>
        <rFont val="Calibri"/>
        <family val="2"/>
      </rPr>
      <t xml:space="preserve"> = 0,5756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</t>
    </r>
    <r>
      <rPr>
        <sz val="14"/>
        <color indexed="8"/>
        <rFont val="Calibri"/>
        <family val="2"/>
      </rPr>
      <t xml:space="preserve"> - a</t>
    </r>
    <r>
      <rPr>
        <vertAlign val="subscript"/>
        <sz val="14"/>
        <color indexed="8"/>
        <rFont val="Calibri"/>
        <family val="2"/>
      </rPr>
      <t>t,l,1</t>
    </r>
  </si>
  <si>
    <r>
      <t>a</t>
    </r>
    <r>
      <rPr>
        <vertAlign val="subscript"/>
        <sz val="14"/>
        <color indexed="8"/>
        <rFont val="Calibri"/>
        <family val="2"/>
      </rPr>
      <t>c,l,2</t>
    </r>
    <r>
      <rPr>
        <sz val="14"/>
        <color indexed="8"/>
        <rFont val="Calibri"/>
        <family val="2"/>
      </rPr>
      <t xml:space="preserve"> = 0,5756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+ h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/ 2</t>
    </r>
    <r>
      <rPr>
        <sz val="14"/>
        <color indexed="8"/>
        <rFont val="Calibri"/>
        <family val="2"/>
      </rPr>
      <t xml:space="preserve"> - a</t>
    </r>
    <r>
      <rPr>
        <vertAlign val="subscript"/>
        <sz val="14"/>
        <color indexed="8"/>
        <rFont val="Calibri"/>
        <family val="2"/>
      </rPr>
      <t>t,l,2</t>
    </r>
  </si>
  <si>
    <t>Eigengewicht [kN/m]</t>
  </si>
  <si>
    <r>
      <t>g</t>
    </r>
    <r>
      <rPr>
        <vertAlign val="subscript"/>
        <sz val="14"/>
        <color indexed="8"/>
        <rFont val="Calibri"/>
        <family val="2"/>
      </rPr>
      <t>k,1</t>
    </r>
    <r>
      <rPr>
        <sz val="14"/>
        <color indexed="8"/>
        <rFont val="Calibri"/>
        <family val="2"/>
      </rPr>
      <t xml:space="preserve"> = </t>
    </r>
    <r>
      <rPr>
        <sz val="14"/>
        <color indexed="8"/>
        <rFont val="Symbol"/>
        <family val="1"/>
      </rPr>
      <t>r</t>
    </r>
    <r>
      <rPr>
        <vertAlign val="subscript"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 xml:space="preserve">c </t>
    </r>
    <r>
      <rPr>
        <sz val="14"/>
        <color indexed="8"/>
        <rFont val="Calibri"/>
        <family val="2"/>
      </rPr>
      <t xml:space="preserve">+ </t>
    </r>
    <r>
      <rPr>
        <sz val="14"/>
        <color indexed="8"/>
        <rFont val="Symbol"/>
        <family val="1"/>
      </rPr>
      <t>r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A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</t>
    </r>
    <r>
      <rPr>
        <vertAlign val="subscript"/>
        <sz val="14"/>
        <color indexed="8"/>
        <rFont val="Calibri"/>
        <family val="2"/>
      </rPr>
      <t xml:space="preserve"> 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</si>
  <si>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t,s,o,d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(a</t>
    </r>
    <r>
      <rPr>
        <vertAlign val="subscript"/>
        <sz val="14"/>
        <color indexed="8"/>
        <rFont val="Calibri"/>
        <family val="2"/>
      </rPr>
      <t>t,s,2</t>
    </r>
    <r>
      <rPr>
        <sz val="14"/>
        <color indexed="8"/>
        <rFont val="Calibri"/>
        <family val="2"/>
      </rPr>
      <t xml:space="preserve"> -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(1-4 / (3*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))) / 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>]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</si>
  <si>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t,l,o,d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(a</t>
    </r>
    <r>
      <rPr>
        <vertAlign val="subscript"/>
        <sz val="14"/>
        <color indexed="8"/>
        <rFont val="Calibri"/>
        <family val="2"/>
      </rPr>
      <t>t,l,2</t>
    </r>
    <r>
      <rPr>
        <sz val="14"/>
        <color indexed="8"/>
        <rFont val="Calibri"/>
        <family val="2"/>
      </rPr>
      <t xml:space="preserve"> -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* (1-4 / (3*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))) / 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>]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</si>
  <si>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t,l,u,d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(a</t>
    </r>
    <r>
      <rPr>
        <vertAlign val="subscript"/>
        <sz val="14"/>
        <color indexed="8"/>
        <rFont val="Calibri"/>
        <family val="2"/>
      </rPr>
      <t>t,l,2</t>
    </r>
    <r>
      <rPr>
        <sz val="14"/>
        <color indexed="8"/>
        <rFont val="Calibri"/>
        <family val="2"/>
      </rPr>
      <t xml:space="preserve"> + 4 * ht / (3*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)) / I</t>
    </r>
    <r>
      <rPr>
        <vertAlign val="subscript"/>
        <sz val="14"/>
        <color indexed="8"/>
        <rFont val="Calibri"/>
        <family val="2"/>
      </rPr>
      <t>v,l,2</t>
    </r>
    <r>
      <rPr>
        <sz val="14"/>
        <color indexed="8"/>
        <rFont val="Calibri"/>
        <family val="2"/>
      </rPr>
      <t>]</t>
    </r>
  </si>
  <si>
    <r>
      <rPr>
        <sz val="14"/>
        <color indexed="8"/>
        <rFont val="Symbol"/>
        <family val="1"/>
      </rPr>
      <t>s</t>
    </r>
    <r>
      <rPr>
        <vertAlign val="subscript"/>
        <sz val="14"/>
        <color indexed="8"/>
        <rFont val="Calibri"/>
        <family val="2"/>
      </rPr>
      <t>t,s,u,d</t>
    </r>
    <r>
      <rPr>
        <sz val="14"/>
        <color indexed="8"/>
        <rFont val="Calibri"/>
        <family val="2"/>
      </rPr>
      <t xml:space="preserve"> = [(M</t>
    </r>
    <r>
      <rPr>
        <vertAlign val="subscript"/>
        <sz val="14"/>
        <color indexed="8"/>
        <rFont val="Calibri"/>
        <family val="2"/>
      </rPr>
      <t>s,d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l,d</t>
    </r>
    <r>
      <rPr>
        <sz val="14"/>
        <color indexed="8"/>
        <rFont val="Calibri"/>
        <family val="2"/>
      </rPr>
      <t>) * (a</t>
    </r>
    <r>
      <rPr>
        <vertAlign val="subscript"/>
        <sz val="14"/>
        <color indexed="8"/>
        <rFont val="Calibri"/>
        <family val="2"/>
      </rPr>
      <t>t,s,2</t>
    </r>
    <r>
      <rPr>
        <sz val="14"/>
        <color indexed="8"/>
        <rFont val="Calibri"/>
        <family val="2"/>
      </rPr>
      <t xml:space="preserve"> + 4 * h</t>
    </r>
    <r>
      <rPr>
        <vertAlign val="subscript"/>
        <sz val="14"/>
        <color indexed="8"/>
        <rFont val="Calibri"/>
        <family val="2"/>
      </rPr>
      <t>t</t>
    </r>
    <r>
      <rPr>
        <sz val="14"/>
        <color indexed="8"/>
        <rFont val="Calibri"/>
        <family val="2"/>
      </rPr>
      <t xml:space="preserve"> / (3*</t>
    </r>
    <r>
      <rPr>
        <sz val="14"/>
        <color indexed="8"/>
        <rFont val="Symbol"/>
        <family val="1"/>
      </rPr>
      <t>p</t>
    </r>
    <r>
      <rPr>
        <sz val="14"/>
        <color indexed="8"/>
        <rFont val="Calibri"/>
        <family val="2"/>
      </rPr>
      <t>)) / I</t>
    </r>
    <r>
      <rPr>
        <vertAlign val="subscript"/>
        <sz val="14"/>
        <color indexed="8"/>
        <rFont val="Calibri"/>
        <family val="2"/>
      </rPr>
      <t>v,s,2</t>
    </r>
    <r>
      <rPr>
        <sz val="14"/>
        <color indexed="8"/>
        <rFont val="Calibri"/>
        <family val="2"/>
      </rPr>
      <t>]</t>
    </r>
  </si>
  <si>
    <t>Dippelbaum-Bemessung</t>
  </si>
  <si>
    <r>
      <t xml:space="preserve">Höhe Holzträger      </t>
    </r>
    <r>
      <rPr>
        <b/>
        <sz val="10"/>
        <rFont val="Times New Roman"/>
        <family val="1"/>
      </rPr>
      <t>h</t>
    </r>
    <r>
      <rPr>
        <b/>
        <vertAlign val="subscript"/>
        <sz val="10"/>
        <rFont val="Times New Roman"/>
        <family val="1"/>
      </rPr>
      <t>t</t>
    </r>
  </si>
  <si>
    <r>
      <t xml:space="preserve">Breite Holzträger     </t>
    </r>
    <r>
      <rPr>
        <b/>
        <sz val="10"/>
        <rFont val="Times New Roman"/>
        <family val="1"/>
      </rPr>
      <t>b</t>
    </r>
    <r>
      <rPr>
        <b/>
        <vertAlign val="subscript"/>
        <sz val="10"/>
        <rFont val="Times New Roman"/>
        <family val="1"/>
      </rPr>
      <t>t</t>
    </r>
  </si>
  <si>
    <r>
      <t xml:space="preserve">Höhe Betonplatte     </t>
    </r>
    <r>
      <rPr>
        <b/>
        <sz val="10"/>
        <rFont val="Times New Roman"/>
        <family val="1"/>
      </rPr>
      <t>h</t>
    </r>
    <r>
      <rPr>
        <b/>
        <vertAlign val="subscript"/>
        <sz val="10"/>
        <rFont val="Times New Roman"/>
        <family val="1"/>
      </rPr>
      <t>c</t>
    </r>
  </si>
  <si>
    <r>
      <t>kN/m</t>
    </r>
    <r>
      <rPr>
        <vertAlign val="superscript"/>
        <sz val="10"/>
        <rFont val="Times New Roman"/>
        <family val="1"/>
      </rPr>
      <t>2</t>
    </r>
  </si>
  <si>
    <r>
      <t>Anzahl Schrauben pro m</t>
    </r>
    <r>
      <rPr>
        <vertAlign val="superscript"/>
        <sz val="10"/>
        <rFont val="Times New Roman"/>
        <family val="1"/>
      </rPr>
      <t>2</t>
    </r>
  </si>
  <si>
    <r>
      <t>mm</t>
    </r>
    <r>
      <rPr>
        <vertAlign val="superscript"/>
        <sz val="10"/>
        <rFont val="Times New Roman"/>
        <family val="1"/>
      </rPr>
      <t>4</t>
    </r>
  </si>
  <si>
    <r>
      <t>mm</t>
    </r>
    <r>
      <rPr>
        <vertAlign val="superscript"/>
        <sz val="10"/>
        <rFont val="Times New Roman"/>
        <family val="1"/>
      </rPr>
      <t>2</t>
    </r>
  </si>
  <si>
    <r>
      <t>kN/m</t>
    </r>
    <r>
      <rPr>
        <vertAlign val="superscript"/>
        <sz val="10"/>
        <rFont val="Times New Roman"/>
        <family val="1"/>
      </rPr>
      <t>3</t>
    </r>
  </si>
  <si>
    <t>Raumgewicht Holz rk</t>
  </si>
  <si>
    <r>
      <t>r</t>
    </r>
    <r>
      <rPr>
        <vertAlign val="subscript"/>
        <sz val="10"/>
        <rFont val="Times New Roman"/>
        <family val="1"/>
      </rPr>
      <t>Holz</t>
    </r>
    <r>
      <rPr>
        <sz val="10"/>
        <rFont val="Times New Roman"/>
        <family val="1"/>
      </rPr>
      <t>= 5 kN/m³ ermittelt.</t>
    </r>
  </si>
  <si>
    <t>Klasch Verbinder</t>
  </si>
  <si>
    <r>
      <t xml:space="preserve">Verteilanordnung der </t>
    </r>
    <r>
      <rPr>
        <b/>
        <sz val="12"/>
        <rFont val="Times New Roman"/>
        <family val="1"/>
      </rPr>
      <t xml:space="preserve">Verbundelemente </t>
    </r>
  </si>
  <si>
    <t>- Werden Anforderungen an den Feuerwiderstand der Verbundkonstruktion gestellt, ist diese bauseits zu prüfen und ggf. nach DIN 4102-2 nachzuweisen.</t>
  </si>
  <si>
    <t>k</t>
  </si>
  <si>
    <t>g</t>
  </si>
  <si>
    <t>Modul</t>
  </si>
  <si>
    <t>Schrauben Werte</t>
  </si>
  <si>
    <t>Verteilanordnung der Verbundelemente - Ansicht Position Nr.:</t>
  </si>
  <si>
    <r>
      <t xml:space="preserve">Die Ansicht ist schematisch und </t>
    </r>
    <r>
      <rPr>
        <b/>
        <sz val="10"/>
        <rFont val="Times New Roman"/>
        <family val="1"/>
      </rPr>
      <t>nicht</t>
    </r>
    <r>
      <rPr>
        <sz val="10"/>
        <rFont val="Times New Roman"/>
        <family val="1"/>
      </rPr>
      <t xml:space="preserve"> massstäblich gezeichnet. Verbundelemente.</t>
    </r>
  </si>
  <si>
    <t xml:space="preserve">Verbindlich sind  Vermassung,  Abstände und Anzahl </t>
  </si>
  <si>
    <t>Querkraft Holz</t>
  </si>
  <si>
    <t>Sonderfall Abspriesung</t>
  </si>
  <si>
    <t>nicht möglich</t>
  </si>
  <si>
    <t>l/350</t>
  </si>
  <si>
    <t>l/250</t>
  </si>
  <si>
    <t>Ausnutzung</t>
  </si>
  <si>
    <t>l/200</t>
  </si>
  <si>
    <t>Verbundelement</t>
  </si>
  <si>
    <r>
      <t>4. Die</t>
    </r>
    <r>
      <rPr>
        <sz val="10"/>
        <rFont val="Times New Roman"/>
        <family val="1"/>
      </rPr>
      <t xml:space="preserve"> Schrauben sind mit 45° gegen das nähere Auflager hin geneigt.</t>
    </r>
  </si>
  <si>
    <t>2. Die Bewehrung entspricht mindestens einer Betonstahlmatte AQ 50.</t>
  </si>
  <si>
    <t>nein</t>
  </si>
  <si>
    <t>C24</t>
  </si>
  <si>
    <t>C20/25</t>
  </si>
  <si>
    <t>nach der Zulassung DIBT Z-9.1-862 und in Anlehnung an EC5 und EC2</t>
  </si>
  <si>
    <t>Dippelbaum Bemessung mit PMJ6090 Holz-Beton-Verbundschraube</t>
  </si>
  <si>
    <t>Ort, Straße</t>
  </si>
  <si>
    <t>Typ 222</t>
  </si>
  <si>
    <t>Name</t>
  </si>
  <si>
    <t>3. Bei Betonstärken von über 10cm ist eine Bügelbewehrung gemäss Anlage 3 zur allgemeinen baaufsichtlichen Zulassung Nr. Z-9.1-862 anzuordnen.</t>
  </si>
  <si>
    <t xml:space="preserve"> nach der Zulassung DIBT Z-9.1-862 und in Anlehnung an EC5 und EC2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</si>
</sst>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"/>
    <numFmt numFmtId="181" formatCode="0.E+00"/>
    <numFmt numFmtId="182" formatCode="0.0%"/>
    <numFmt numFmtId="183" formatCode="d/\ mmmm\ yyyy"/>
    <numFmt numFmtId="184" formatCode="dd/mm/yy"/>
    <numFmt numFmtId="185" formatCode="[$-407]dddd\,\ d\.\ mmmm\ yyyy"/>
  </numFmts>
  <fonts count="7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4"/>
      <color indexed="8"/>
      <name val="Symbol"/>
      <family val="1"/>
    </font>
    <font>
      <sz val="12"/>
      <color indexed="8"/>
      <name val="Symbol"/>
      <family val="1"/>
    </font>
    <font>
      <vertAlign val="subscript"/>
      <sz val="12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48"/>
      <name val="Times New Roman"/>
      <family val="1"/>
    </font>
    <font>
      <b/>
      <vertAlign val="subscript"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indexed="4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Wingdings"/>
      <family val="0"/>
    </font>
    <font>
      <sz val="10"/>
      <color indexed="9"/>
      <name val="Times New Roman"/>
      <family val="1"/>
    </font>
    <font>
      <b/>
      <sz val="10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Wingdings"/>
      <family val="0"/>
    </font>
    <font>
      <sz val="10"/>
      <color theme="0"/>
      <name val="Times New Roman"/>
      <family val="1"/>
    </font>
    <font>
      <b/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177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17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226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NumberFormat="1" applyFill="1" applyAlignment="1" applyProtection="1">
      <alignment/>
      <protection hidden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74" fillId="0" borderId="0" xfId="0" applyFont="1" applyAlignment="1">
      <alignment/>
    </xf>
    <xf numFmtId="0" fontId="5" fillId="0" borderId="0" xfId="0" applyFont="1" applyAlignment="1">
      <alignment/>
    </xf>
    <xf numFmtId="0" fontId="12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2" fontId="17" fillId="0" borderId="0" xfId="0" applyNumberFormat="1" applyFont="1" applyFill="1" applyBorder="1" applyAlignment="1" applyProtection="1">
      <alignment/>
      <protection hidden="1" locked="0"/>
    </xf>
    <xf numFmtId="0" fontId="15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180" fontId="17" fillId="0" borderId="0" xfId="0" applyNumberFormat="1" applyFont="1" applyFill="1" applyBorder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2" fontId="15" fillId="0" borderId="0" xfId="0" applyNumberFormat="1" applyFont="1" applyFill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180" fontId="15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right"/>
      <protection hidden="1" locked="0"/>
    </xf>
    <xf numFmtId="2" fontId="17" fillId="0" borderId="0" xfId="0" applyNumberFormat="1" applyFont="1" applyBorder="1" applyAlignment="1" applyProtection="1">
      <alignment/>
      <protection hidden="1" locked="0"/>
    </xf>
    <xf numFmtId="0" fontId="17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180" fontId="17" fillId="33" borderId="0" xfId="0" applyNumberFormat="1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left"/>
      <protection hidden="1"/>
    </xf>
    <xf numFmtId="2" fontId="15" fillId="33" borderId="0" xfId="0" applyNumberFormat="1" applyFont="1" applyFill="1" applyBorder="1" applyAlignment="1" applyProtection="1">
      <alignment/>
      <protection hidden="1"/>
    </xf>
    <xf numFmtId="182" fontId="19" fillId="33" borderId="0" xfId="0" applyNumberFormat="1" applyFont="1" applyFill="1" applyBorder="1" applyAlignment="1" applyProtection="1">
      <alignment/>
      <protection hidden="1"/>
    </xf>
    <xf numFmtId="0" fontId="15" fillId="33" borderId="0" xfId="0" applyFont="1" applyFill="1" applyBorder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/>
      <protection hidden="1"/>
    </xf>
    <xf numFmtId="2" fontId="16" fillId="33" borderId="0" xfId="0" applyNumberFormat="1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left"/>
      <protection hidden="1"/>
    </xf>
    <xf numFmtId="0" fontId="16" fillId="33" borderId="0" xfId="0" applyFont="1" applyFill="1" applyBorder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 horizontal="left"/>
      <protection hidden="1"/>
    </xf>
    <xf numFmtId="2" fontId="15" fillId="33" borderId="0" xfId="0" applyNumberFormat="1" applyFont="1" applyFill="1" applyBorder="1" applyAlignment="1" applyProtection="1">
      <alignment horizontal="left"/>
      <protection hidden="1"/>
    </xf>
    <xf numFmtId="182" fontId="19" fillId="33" borderId="0" xfId="0" applyNumberFormat="1" applyFont="1" applyFill="1" applyBorder="1" applyAlignment="1" applyProtection="1">
      <alignment horizontal="left"/>
      <protection hidden="1"/>
    </xf>
    <xf numFmtId="0" fontId="15" fillId="33" borderId="0" xfId="0" applyFont="1" applyFill="1" applyBorder="1" applyAlignment="1" applyProtection="1">
      <alignment horizontal="right"/>
      <protection hidden="1"/>
    </xf>
    <xf numFmtId="0" fontId="12" fillId="33" borderId="0" xfId="0" applyFont="1" applyFill="1" applyBorder="1" applyAlignment="1" applyProtection="1">
      <alignment horizontal="right"/>
      <protection hidden="1"/>
    </xf>
    <xf numFmtId="1" fontId="15" fillId="33" borderId="0" xfId="0" applyNumberFormat="1" applyFont="1" applyFill="1" applyBorder="1" applyAlignment="1" applyProtection="1">
      <alignment horizontal="left"/>
      <protection hidden="1"/>
    </xf>
    <xf numFmtId="2" fontId="15" fillId="33" borderId="0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 horizontal="left"/>
      <protection hidden="1"/>
    </xf>
    <xf numFmtId="1" fontId="15" fillId="0" borderId="0" xfId="0" applyNumberFormat="1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49" fontId="12" fillId="0" borderId="0" xfId="0" applyNumberFormat="1" applyFont="1" applyAlignment="1" applyProtection="1">
      <alignment horizontal="left"/>
      <protection hidden="1"/>
    </xf>
    <xf numFmtId="49" fontId="12" fillId="0" borderId="0" xfId="0" applyNumberFormat="1" applyFont="1" applyAlignment="1" applyProtection="1">
      <alignment/>
      <protection hidden="1"/>
    </xf>
    <xf numFmtId="49" fontId="12" fillId="0" borderId="0" xfId="0" applyNumberFormat="1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2" fillId="33" borderId="0" xfId="0" applyFont="1" applyFill="1" applyBorder="1" applyAlignment="1" applyProtection="1">
      <alignment/>
      <protection hidden="1"/>
    </xf>
    <xf numFmtId="2" fontId="15" fillId="0" borderId="0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2" fontId="15" fillId="0" borderId="0" xfId="0" applyNumberFormat="1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right"/>
      <protection hidden="1" locked="0"/>
    </xf>
    <xf numFmtId="0" fontId="15" fillId="33" borderId="0" xfId="0" applyFont="1" applyFill="1" applyBorder="1" applyAlignment="1" applyProtection="1">
      <alignment/>
      <protection hidden="1"/>
    </xf>
    <xf numFmtId="49" fontId="15" fillId="33" borderId="0" xfId="0" applyNumberFormat="1" applyFont="1" applyFill="1" applyBorder="1" applyAlignment="1" applyProtection="1">
      <alignment/>
      <protection hidden="1"/>
    </xf>
    <xf numFmtId="49" fontId="12" fillId="33" borderId="0" xfId="0" applyNumberFormat="1" applyFont="1" applyFill="1" applyBorder="1" applyAlignment="1" applyProtection="1">
      <alignment/>
      <protection hidden="1"/>
    </xf>
    <xf numFmtId="49" fontId="12" fillId="33" borderId="0" xfId="0" applyNumberFormat="1" applyFont="1" applyFill="1" applyBorder="1" applyAlignment="1" applyProtection="1">
      <alignment horizontal="left"/>
      <protection hidden="1"/>
    </xf>
    <xf numFmtId="49" fontId="19" fillId="33" borderId="0" xfId="0" applyNumberFormat="1" applyFont="1" applyFill="1" applyBorder="1" applyAlignment="1" applyProtection="1">
      <alignment/>
      <protection hidden="1"/>
    </xf>
    <xf numFmtId="49" fontId="12" fillId="33" borderId="0" xfId="0" applyNumberFormat="1" applyFont="1" applyFill="1" applyBorder="1" applyAlignment="1" applyProtection="1">
      <alignment/>
      <protection hidden="1"/>
    </xf>
    <xf numFmtId="49" fontId="16" fillId="33" borderId="0" xfId="0" applyNumberFormat="1" applyFont="1" applyFill="1" applyBorder="1" applyAlignment="1" applyProtection="1">
      <alignment/>
      <protection hidden="1"/>
    </xf>
    <xf numFmtId="49" fontId="16" fillId="33" borderId="0" xfId="0" applyNumberFormat="1" applyFont="1" applyFill="1" applyBorder="1" applyAlignment="1" applyProtection="1">
      <alignment horizontal="left"/>
      <protection hidden="1"/>
    </xf>
    <xf numFmtId="0" fontId="15" fillId="33" borderId="0" xfId="0" applyNumberFormat="1" applyFont="1" applyFill="1" applyBorder="1" applyAlignment="1" applyProtection="1">
      <alignment horizontal="left"/>
      <protection hidden="1"/>
    </xf>
    <xf numFmtId="0" fontId="15" fillId="33" borderId="0" xfId="0" applyNumberFormat="1" applyFont="1" applyFill="1" applyBorder="1" applyAlignment="1" applyProtection="1">
      <alignment/>
      <protection hidden="1"/>
    </xf>
    <xf numFmtId="0" fontId="12" fillId="33" borderId="0" xfId="0" applyNumberFormat="1" applyFont="1" applyFill="1" applyBorder="1" applyAlignment="1" applyProtection="1">
      <alignment horizontal="left"/>
      <protection hidden="1"/>
    </xf>
    <xf numFmtId="0" fontId="12" fillId="33" borderId="0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80" fontId="23" fillId="0" borderId="0" xfId="0" applyNumberFormat="1" applyFont="1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/>
      <protection hidden="1"/>
    </xf>
    <xf numFmtId="11" fontId="15" fillId="0" borderId="0" xfId="0" applyNumberFormat="1" applyFont="1" applyFill="1" applyBorder="1" applyAlignment="1" applyProtection="1">
      <alignment/>
      <protection hidden="1"/>
    </xf>
    <xf numFmtId="0" fontId="27" fillId="33" borderId="0" xfId="0" applyFont="1" applyFill="1" applyBorder="1" applyAlignment="1" applyProtection="1">
      <alignment/>
      <protection hidden="1"/>
    </xf>
    <xf numFmtId="0" fontId="28" fillId="33" borderId="0" xfId="0" applyFont="1" applyFill="1" applyBorder="1" applyAlignment="1" applyProtection="1">
      <alignment/>
      <protection hidden="1"/>
    </xf>
    <xf numFmtId="0" fontId="12" fillId="34" borderId="0" xfId="0" applyFont="1" applyFill="1" applyBorder="1" applyAlignment="1" applyProtection="1">
      <alignment/>
      <protection hidden="1"/>
    </xf>
    <xf numFmtId="2" fontId="15" fillId="34" borderId="0" xfId="0" applyNumberFormat="1" applyFont="1" applyFill="1" applyBorder="1" applyAlignment="1" applyProtection="1">
      <alignment/>
      <protection hidden="1"/>
    </xf>
    <xf numFmtId="0" fontId="12" fillId="34" borderId="0" xfId="0" applyFont="1" applyFill="1" applyBorder="1" applyAlignment="1" applyProtection="1">
      <alignment horizontal="left"/>
      <protection hidden="1"/>
    </xf>
    <xf numFmtId="0" fontId="12" fillId="34" borderId="10" xfId="0" applyFont="1" applyFill="1" applyBorder="1" applyAlignment="1" applyProtection="1">
      <alignment/>
      <protection hidden="1"/>
    </xf>
    <xf numFmtId="182" fontId="12" fillId="0" borderId="0" xfId="0" applyNumberFormat="1" applyFont="1" applyFill="1" applyBorder="1" applyAlignment="1" applyProtection="1">
      <alignment horizontal="left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 locked="0"/>
    </xf>
    <xf numFmtId="0" fontId="15" fillId="0" borderId="0" xfId="0" applyNumberFormat="1" applyFont="1" applyFill="1" applyBorder="1" applyAlignment="1" applyProtection="1">
      <alignment/>
      <protection hidden="1" locked="0"/>
    </xf>
    <xf numFmtId="0" fontId="0" fillId="34" borderId="0" xfId="0" applyFill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2" fontId="17" fillId="0" borderId="0" xfId="0" applyNumberFormat="1" applyFont="1" applyFill="1" applyBorder="1" applyAlignment="1" applyProtection="1">
      <alignment horizontal="right"/>
      <protection hidden="1" locked="0"/>
    </xf>
    <xf numFmtId="0" fontId="75" fillId="0" borderId="0" xfId="0" applyFont="1" applyBorder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 locked="0"/>
    </xf>
    <xf numFmtId="0" fontId="17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182" fontId="19" fillId="34" borderId="0" xfId="0" applyNumberFormat="1" applyFont="1" applyFill="1" applyBorder="1" applyAlignment="1" applyProtection="1">
      <alignment/>
      <protection hidden="1"/>
    </xf>
    <xf numFmtId="0" fontId="15" fillId="34" borderId="0" xfId="0" applyFont="1" applyFill="1" applyBorder="1" applyAlignment="1" applyProtection="1">
      <alignment horizontal="center"/>
      <protection hidden="1"/>
    </xf>
    <xf numFmtId="49" fontId="12" fillId="0" borderId="0" xfId="0" applyNumberFormat="1" applyFont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180" fontId="17" fillId="0" borderId="0" xfId="0" applyNumberFormat="1" applyFont="1" applyFill="1" applyBorder="1" applyAlignment="1" applyProtection="1">
      <alignment/>
      <protection hidden="1" locked="0"/>
    </xf>
    <xf numFmtId="49" fontId="12" fillId="0" borderId="0" xfId="0" applyNumberFormat="1" applyFont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right"/>
      <protection hidden="1"/>
    </xf>
    <xf numFmtId="2" fontId="17" fillId="0" borderId="0" xfId="0" applyNumberFormat="1" applyFont="1" applyFill="1" applyBorder="1" applyAlignment="1" applyProtection="1">
      <alignment/>
      <protection hidden="1"/>
    </xf>
    <xf numFmtId="49" fontId="4" fillId="0" borderId="0" xfId="0" applyNumberFormat="1" applyFont="1" applyFill="1" applyBorder="1" applyAlignment="1" applyProtection="1">
      <alignment horizontal="left"/>
      <protection hidden="1"/>
    </xf>
    <xf numFmtId="0" fontId="12" fillId="33" borderId="11" xfId="0" applyFont="1" applyFill="1" applyBorder="1" applyAlignment="1" applyProtection="1">
      <alignment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12" fillId="33" borderId="13" xfId="0" applyFont="1" applyFill="1" applyBorder="1" applyAlignment="1" applyProtection="1">
      <alignment/>
      <protection hidden="1"/>
    </xf>
    <xf numFmtId="0" fontId="12" fillId="33" borderId="14" xfId="0" applyFont="1" applyFill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0" fontId="12" fillId="33" borderId="15" xfId="0" applyFont="1" applyFill="1" applyBorder="1" applyAlignment="1" applyProtection="1">
      <alignment/>
      <protection hidden="1"/>
    </xf>
    <xf numFmtId="0" fontId="15" fillId="33" borderId="10" xfId="0" applyFont="1" applyFill="1" applyBorder="1" applyAlignment="1" applyProtection="1">
      <alignment horizontal="center"/>
      <protection hidden="1"/>
    </xf>
    <xf numFmtId="0" fontId="12" fillId="34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6" fillId="34" borderId="0" xfId="0" applyFont="1" applyFill="1" applyBorder="1" applyAlignment="1" applyProtection="1">
      <alignment horizontal="center"/>
      <protection hidden="1"/>
    </xf>
    <xf numFmtId="0" fontId="12" fillId="34" borderId="16" xfId="0" applyFont="1" applyFill="1" applyBorder="1" applyAlignment="1" applyProtection="1">
      <alignment/>
      <protection hidden="1"/>
    </xf>
    <xf numFmtId="0" fontId="15" fillId="34" borderId="0" xfId="0" applyFont="1" applyFill="1" applyBorder="1" applyAlignment="1" applyProtection="1">
      <alignment/>
      <protection hidden="1"/>
    </xf>
    <xf numFmtId="1" fontId="15" fillId="34" borderId="0" xfId="0" applyNumberFormat="1" applyFont="1" applyFill="1" applyBorder="1" applyAlignment="1" applyProtection="1">
      <alignment/>
      <protection hidden="1"/>
    </xf>
    <xf numFmtId="11" fontId="15" fillId="34" borderId="16" xfId="0" applyNumberFormat="1" applyFont="1" applyFill="1" applyBorder="1" applyAlignment="1" applyProtection="1">
      <alignment/>
      <protection hidden="1"/>
    </xf>
    <xf numFmtId="0" fontId="12" fillId="34" borderId="17" xfId="0" applyFont="1" applyFill="1" applyBorder="1" applyAlignment="1" applyProtection="1">
      <alignment/>
      <protection hidden="1"/>
    </xf>
    <xf numFmtId="0" fontId="15" fillId="34" borderId="16" xfId="0" applyFont="1" applyFill="1" applyBorder="1" applyAlignment="1" applyProtection="1">
      <alignment/>
      <protection hidden="1"/>
    </xf>
    <xf numFmtId="180" fontId="15" fillId="34" borderId="0" xfId="0" applyNumberFormat="1" applyFont="1" applyFill="1" applyBorder="1" applyAlignment="1" applyProtection="1">
      <alignment/>
      <protection hidden="1"/>
    </xf>
    <xf numFmtId="2" fontId="12" fillId="34" borderId="0" xfId="0" applyNumberFormat="1" applyFont="1" applyFill="1" applyBorder="1" applyAlignment="1" applyProtection="1">
      <alignment/>
      <protection hidden="1"/>
    </xf>
    <xf numFmtId="180" fontId="23" fillId="34" borderId="0" xfId="0" applyNumberFormat="1" applyFont="1" applyFill="1" applyBorder="1" applyAlignment="1" applyProtection="1">
      <alignment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12" fillId="34" borderId="11" xfId="0" applyFont="1" applyFill="1" applyBorder="1" applyAlignment="1" applyProtection="1">
      <alignment/>
      <protection hidden="1"/>
    </xf>
    <xf numFmtId="0" fontId="12" fillId="34" borderId="12" xfId="0" applyFont="1" applyFill="1" applyBorder="1" applyAlignment="1" applyProtection="1">
      <alignment/>
      <protection hidden="1"/>
    </xf>
    <xf numFmtId="0" fontId="12" fillId="34" borderId="13" xfId="0" applyFont="1" applyFill="1" applyBorder="1" applyAlignment="1" applyProtection="1">
      <alignment/>
      <protection hidden="1"/>
    </xf>
    <xf numFmtId="0" fontId="16" fillId="34" borderId="14" xfId="0" applyFont="1" applyFill="1" applyBorder="1" applyAlignment="1" applyProtection="1">
      <alignment/>
      <protection hidden="1"/>
    </xf>
    <xf numFmtId="2" fontId="16" fillId="34" borderId="0" xfId="0" applyNumberFormat="1" applyFont="1" applyFill="1" applyBorder="1" applyAlignment="1" applyProtection="1">
      <alignment/>
      <protection hidden="1"/>
    </xf>
    <xf numFmtId="0" fontId="16" fillId="34" borderId="0" xfId="0" applyFont="1" applyFill="1" applyBorder="1" applyAlignment="1" applyProtection="1">
      <alignment/>
      <protection hidden="1"/>
    </xf>
    <xf numFmtId="0" fontId="16" fillId="34" borderId="0" xfId="0" applyFont="1" applyFill="1" applyBorder="1" applyAlignment="1" applyProtection="1">
      <alignment horizontal="left"/>
      <protection hidden="1"/>
    </xf>
    <xf numFmtId="0" fontId="12" fillId="34" borderId="0" xfId="0" applyFont="1" applyFill="1" applyBorder="1" applyAlignment="1" applyProtection="1">
      <alignment/>
      <protection hidden="1"/>
    </xf>
    <xf numFmtId="0" fontId="15" fillId="34" borderId="14" xfId="0" applyFont="1" applyFill="1" applyBorder="1" applyAlignment="1" applyProtection="1">
      <alignment horizontal="left"/>
      <protection hidden="1"/>
    </xf>
    <xf numFmtId="0" fontId="15" fillId="34" borderId="0" xfId="0" applyFont="1" applyFill="1" applyBorder="1" applyAlignment="1" applyProtection="1">
      <alignment horizontal="left"/>
      <protection hidden="1"/>
    </xf>
    <xf numFmtId="0" fontId="26" fillId="34" borderId="14" xfId="0" applyFont="1" applyFill="1" applyBorder="1" applyAlignment="1" applyProtection="1">
      <alignment/>
      <protection hidden="1"/>
    </xf>
    <xf numFmtId="0" fontId="26" fillId="34" borderId="0" xfId="0" applyFont="1" applyFill="1" applyBorder="1" applyAlignment="1" applyProtection="1">
      <alignment/>
      <protection hidden="1"/>
    </xf>
    <xf numFmtId="0" fontId="15" fillId="34" borderId="0" xfId="0" applyFont="1" applyFill="1" applyBorder="1" applyAlignment="1" applyProtection="1">
      <alignment horizontal="right"/>
      <protection hidden="1"/>
    </xf>
    <xf numFmtId="1" fontId="16" fillId="34" borderId="14" xfId="0" applyNumberFormat="1" applyFont="1" applyFill="1" applyBorder="1" applyAlignment="1" applyProtection="1">
      <alignment horizontal="right"/>
      <protection hidden="1"/>
    </xf>
    <xf numFmtId="0" fontId="12" fillId="34" borderId="15" xfId="0" applyFont="1" applyFill="1" applyBorder="1" applyAlignment="1" applyProtection="1">
      <alignment/>
      <protection hidden="1"/>
    </xf>
    <xf numFmtId="0" fontId="25" fillId="34" borderId="0" xfId="0" applyFont="1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1" fontId="15" fillId="34" borderId="0" xfId="0" applyNumberFormat="1" applyFont="1" applyFill="1" applyBorder="1" applyAlignment="1" applyProtection="1">
      <alignment horizontal="left"/>
      <protection hidden="1"/>
    </xf>
    <xf numFmtId="0" fontId="0" fillId="34" borderId="0" xfId="0" applyFont="1" applyFill="1" applyAlignment="1" applyProtection="1">
      <alignment/>
      <protection hidden="1"/>
    </xf>
    <xf numFmtId="1" fontId="15" fillId="34" borderId="0" xfId="0" applyNumberFormat="1" applyFont="1" applyFill="1" applyBorder="1" applyAlignment="1" applyProtection="1">
      <alignment horizontal="right"/>
      <protection hidden="1"/>
    </xf>
    <xf numFmtId="0" fontId="12" fillId="34" borderId="0" xfId="0" applyFont="1" applyFill="1" applyBorder="1" applyAlignment="1" applyProtection="1">
      <alignment horizontal="left"/>
      <protection hidden="1"/>
    </xf>
    <xf numFmtId="1" fontId="12" fillId="0" borderId="0" xfId="0" applyNumberFormat="1" applyFont="1" applyFill="1" applyBorder="1" applyAlignment="1" applyProtection="1">
      <alignment/>
      <protection hidden="1"/>
    </xf>
    <xf numFmtId="180" fontId="12" fillId="0" borderId="0" xfId="0" applyNumberFormat="1" applyFont="1" applyFill="1" applyBorder="1" applyAlignment="1" applyProtection="1">
      <alignment/>
      <protection hidden="1"/>
    </xf>
    <xf numFmtId="0" fontId="12" fillId="34" borderId="0" xfId="0" applyFont="1" applyFill="1" applyBorder="1" applyAlignment="1" applyProtection="1">
      <alignment horizontal="right"/>
      <protection hidden="1"/>
    </xf>
    <xf numFmtId="0" fontId="12" fillId="34" borderId="0" xfId="0" applyNumberFormat="1" applyFont="1" applyFill="1" applyBorder="1" applyAlignment="1" applyProtection="1">
      <alignment horizontal="left"/>
      <protection hidden="1"/>
    </xf>
    <xf numFmtId="14" fontId="12" fillId="34" borderId="0" xfId="0" applyNumberFormat="1" applyFont="1" applyFill="1" applyBorder="1" applyAlignment="1" applyProtection="1">
      <alignment horizontal="left"/>
      <protection hidden="1"/>
    </xf>
    <xf numFmtId="182" fontId="19" fillId="0" borderId="0" xfId="0" applyNumberFormat="1" applyFont="1" applyFill="1" applyBorder="1" applyAlignment="1" applyProtection="1">
      <alignment horizontal="center"/>
      <protection hidden="1"/>
    </xf>
    <xf numFmtId="182" fontId="19" fillId="0" borderId="0" xfId="0" applyNumberFormat="1" applyFont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12" fillId="33" borderId="18" xfId="0" applyFont="1" applyFill="1" applyBorder="1" applyAlignment="1" applyProtection="1">
      <alignment/>
      <protection hidden="1"/>
    </xf>
    <xf numFmtId="0" fontId="12" fillId="33" borderId="19" xfId="0" applyFont="1" applyFill="1" applyBorder="1" applyAlignment="1" applyProtection="1">
      <alignment/>
      <protection hidden="1"/>
    </xf>
    <xf numFmtId="0" fontId="12" fillId="33" borderId="20" xfId="0" applyFont="1" applyFill="1" applyBorder="1" applyAlignment="1" applyProtection="1">
      <alignment/>
      <protection hidden="1"/>
    </xf>
    <xf numFmtId="0" fontId="13" fillId="33" borderId="21" xfId="0" applyFont="1" applyFill="1" applyBorder="1" applyAlignment="1" applyProtection="1">
      <alignment/>
      <protection hidden="1"/>
    </xf>
    <xf numFmtId="0" fontId="13" fillId="33" borderId="22" xfId="0" applyFont="1" applyFill="1" applyBorder="1" applyAlignment="1" applyProtection="1">
      <alignment/>
      <protection hidden="1"/>
    </xf>
    <xf numFmtId="0" fontId="12" fillId="33" borderId="21" xfId="0" applyFont="1" applyFill="1" applyBorder="1" applyAlignment="1" applyProtection="1">
      <alignment/>
      <protection hidden="1"/>
    </xf>
    <xf numFmtId="0" fontId="12" fillId="33" borderId="22" xfId="0" applyFont="1" applyFill="1" applyBorder="1" applyAlignment="1" applyProtection="1">
      <alignment/>
      <protection hidden="1"/>
    </xf>
    <xf numFmtId="0" fontId="16" fillId="33" borderId="22" xfId="0" applyFont="1" applyFill="1" applyBorder="1" applyAlignment="1" applyProtection="1">
      <alignment/>
      <protection hidden="1"/>
    </xf>
    <xf numFmtId="0" fontId="12" fillId="34" borderId="22" xfId="0" applyFont="1" applyFill="1" applyBorder="1" applyAlignment="1" applyProtection="1">
      <alignment/>
      <protection hidden="1"/>
    </xf>
    <xf numFmtId="2" fontId="12" fillId="34" borderId="22" xfId="0" applyNumberFormat="1" applyFont="1" applyFill="1" applyBorder="1" applyAlignment="1" applyProtection="1">
      <alignment/>
      <protection hidden="1"/>
    </xf>
    <xf numFmtId="0" fontId="15" fillId="34" borderId="22" xfId="0" applyNumberFormat="1" applyFont="1" applyFill="1" applyBorder="1" applyAlignment="1" applyProtection="1">
      <alignment/>
      <protection hidden="1" locked="0"/>
    </xf>
    <xf numFmtId="0" fontId="15" fillId="33" borderId="21" xfId="0" applyFont="1" applyFill="1" applyBorder="1" applyAlignment="1" applyProtection="1">
      <alignment/>
      <protection hidden="1"/>
    </xf>
    <xf numFmtId="0" fontId="15" fillId="33" borderId="22" xfId="0" applyFont="1" applyFill="1" applyBorder="1" applyAlignment="1" applyProtection="1">
      <alignment/>
      <protection hidden="1"/>
    </xf>
    <xf numFmtId="0" fontId="12" fillId="33" borderId="23" xfId="0" applyFont="1" applyFill="1" applyBorder="1" applyAlignment="1" applyProtection="1">
      <alignment/>
      <protection hidden="1"/>
    </xf>
    <xf numFmtId="0" fontId="12" fillId="33" borderId="24" xfId="0" applyFont="1" applyFill="1" applyBorder="1" applyAlignment="1" applyProtection="1">
      <alignment/>
      <protection hidden="1"/>
    </xf>
    <xf numFmtId="2" fontId="12" fillId="33" borderId="25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33" borderId="21" xfId="0" applyFont="1" applyFill="1" applyBorder="1" applyAlignment="1" applyProtection="1">
      <alignment/>
      <protection hidden="1"/>
    </xf>
    <xf numFmtId="0" fontId="12" fillId="33" borderId="22" xfId="0" applyFont="1" applyFill="1" applyBorder="1" applyAlignment="1" applyProtection="1">
      <alignment/>
      <protection hidden="1"/>
    </xf>
    <xf numFmtId="0" fontId="12" fillId="33" borderId="21" xfId="0" applyNumberFormat="1" applyFont="1" applyFill="1" applyBorder="1" applyAlignment="1" applyProtection="1">
      <alignment/>
      <protection hidden="1"/>
    </xf>
    <xf numFmtId="0" fontId="12" fillId="33" borderId="22" xfId="0" applyNumberFormat="1" applyFont="1" applyFill="1" applyBorder="1" applyAlignment="1" applyProtection="1">
      <alignment/>
      <protection hidden="1"/>
    </xf>
    <xf numFmtId="0" fontId="15" fillId="33" borderId="24" xfId="0" applyFont="1" applyFill="1" applyBorder="1" applyAlignment="1" applyProtection="1">
      <alignment horizontal="left"/>
      <protection hidden="1"/>
    </xf>
    <xf numFmtId="0" fontId="12" fillId="33" borderId="24" xfId="0" applyFont="1" applyFill="1" applyBorder="1" applyAlignment="1" applyProtection="1">
      <alignment horizontal="left"/>
      <protection hidden="1"/>
    </xf>
    <xf numFmtId="2" fontId="15" fillId="33" borderId="24" xfId="0" applyNumberFormat="1" applyFont="1" applyFill="1" applyBorder="1" applyAlignment="1" applyProtection="1">
      <alignment horizontal="left"/>
      <protection hidden="1"/>
    </xf>
    <xf numFmtId="0" fontId="16" fillId="33" borderId="24" xfId="0" applyFont="1" applyFill="1" applyBorder="1" applyAlignment="1" applyProtection="1">
      <alignment/>
      <protection hidden="1"/>
    </xf>
    <xf numFmtId="0" fontId="16" fillId="33" borderId="25" xfId="0" applyFont="1" applyFill="1" applyBorder="1" applyAlignment="1" applyProtection="1">
      <alignment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NumberFormat="1" applyFont="1" applyFill="1" applyBorder="1" applyAlignment="1" applyProtection="1">
      <alignment/>
      <protection hidden="1"/>
    </xf>
    <xf numFmtId="0" fontId="15" fillId="34" borderId="22" xfId="0" applyNumberFormat="1" applyFont="1" applyFill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2" fillId="34" borderId="0" xfId="0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 applyProtection="1">
      <alignment horizontal="left" vertical="center"/>
      <protection hidden="1"/>
    </xf>
    <xf numFmtId="14" fontId="15" fillId="0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14" fontId="76" fillId="0" borderId="0" xfId="0" applyNumberFormat="1" applyFont="1" applyFill="1" applyBorder="1" applyAlignment="1" applyProtection="1">
      <alignment horizontal="left" vertical="center"/>
      <protection hidden="1" locked="0"/>
    </xf>
    <xf numFmtId="1" fontId="76" fillId="0" borderId="0" xfId="0" applyNumberFormat="1" applyFont="1" applyFill="1" applyBorder="1" applyAlignment="1" applyProtection="1">
      <alignment horizontal="left" vertical="center"/>
      <protection hidden="1" locked="0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34" borderId="0" xfId="0" applyNumberFormat="1" applyFont="1" applyFill="1" applyBorder="1" applyAlignment="1" applyProtection="1">
      <alignment horizontal="left"/>
      <protection hidden="1"/>
    </xf>
    <xf numFmtId="0" fontId="16" fillId="34" borderId="0" xfId="0" applyFont="1" applyFill="1" applyBorder="1" applyAlignment="1" applyProtection="1">
      <alignment horizontal="left"/>
      <protection hidden="1"/>
    </xf>
    <xf numFmtId="1" fontId="25" fillId="34" borderId="0" xfId="0" applyNumberFormat="1" applyFont="1" applyFill="1" applyBorder="1" applyAlignment="1" applyProtection="1">
      <alignment horizontal="left"/>
      <protection hidden="1"/>
    </xf>
    <xf numFmtId="1" fontId="12" fillId="34" borderId="0" xfId="0" applyNumberFormat="1" applyFont="1" applyFill="1" applyBorder="1" applyAlignment="1" applyProtection="1">
      <alignment horizontal="left"/>
      <protection hidden="1"/>
    </xf>
    <xf numFmtId="0" fontId="12" fillId="34" borderId="0" xfId="0" applyFont="1" applyFill="1" applyBorder="1" applyAlignment="1" applyProtection="1">
      <alignment horizontal="left"/>
      <protection hidden="1"/>
    </xf>
    <xf numFmtId="0" fontId="13" fillId="34" borderId="0" xfId="0" applyFont="1" applyFill="1" applyBorder="1" applyAlignment="1" applyProtection="1">
      <alignment horizontal="left"/>
      <protection hidden="1"/>
    </xf>
    <xf numFmtId="0" fontId="15" fillId="34" borderId="0" xfId="0" applyFont="1" applyFill="1" applyBorder="1" applyAlignment="1" applyProtection="1">
      <alignment horizontal="left"/>
      <protection hidden="1"/>
    </xf>
    <xf numFmtId="14" fontId="12" fillId="34" borderId="0" xfId="0" applyNumberFormat="1" applyFont="1" applyFill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horizontal="left"/>
      <protection hidden="1"/>
    </xf>
    <xf numFmtId="49" fontId="15" fillId="0" borderId="0" xfId="0" applyNumberFormat="1" applyFont="1" applyFill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right"/>
      <protection hidden="1"/>
    </xf>
    <xf numFmtId="49" fontId="15" fillId="0" borderId="0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2</xdr:row>
      <xdr:rowOff>9525</xdr:rowOff>
    </xdr:from>
    <xdr:to>
      <xdr:col>4</xdr:col>
      <xdr:colOff>9525</xdr:colOff>
      <xdr:row>3</xdr:row>
      <xdr:rowOff>171450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47675"/>
          <a:ext cx="1800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40</xdr:row>
      <xdr:rowOff>0</xdr:rowOff>
    </xdr:from>
    <xdr:to>
      <xdr:col>15</xdr:col>
      <xdr:colOff>276225</xdr:colOff>
      <xdr:row>50</xdr:row>
      <xdr:rowOff>9525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162800"/>
          <a:ext cx="95726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76</xdr:row>
      <xdr:rowOff>95250</xdr:rowOff>
    </xdr:from>
    <xdr:to>
      <xdr:col>4</xdr:col>
      <xdr:colOff>38100</xdr:colOff>
      <xdr:row>79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820775"/>
          <a:ext cx="1800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156</xdr:row>
      <xdr:rowOff>123825</xdr:rowOff>
    </xdr:from>
    <xdr:to>
      <xdr:col>3</xdr:col>
      <xdr:colOff>295275</xdr:colOff>
      <xdr:row>159</xdr:row>
      <xdr:rowOff>38100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8327350"/>
          <a:ext cx="1800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160</xdr:row>
      <xdr:rowOff>104775</xdr:rowOff>
    </xdr:from>
    <xdr:to>
      <xdr:col>4</xdr:col>
      <xdr:colOff>247650</xdr:colOff>
      <xdr:row>165</xdr:row>
      <xdr:rowOff>9525</xdr:rowOff>
    </xdr:to>
    <xdr:pic>
      <xdr:nvPicPr>
        <xdr:cNvPr id="5" name="Grafi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9032200"/>
          <a:ext cx="2447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57150</xdr:rowOff>
    </xdr:from>
    <xdr:to>
      <xdr:col>5</xdr:col>
      <xdr:colOff>47625</xdr:colOff>
      <xdr:row>84</xdr:row>
      <xdr:rowOff>133350</xdr:rowOff>
    </xdr:to>
    <xdr:pic>
      <xdr:nvPicPr>
        <xdr:cNvPr id="6" name="Grafik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14506575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</xdr:row>
      <xdr:rowOff>161925</xdr:rowOff>
    </xdr:from>
    <xdr:to>
      <xdr:col>4</xdr:col>
      <xdr:colOff>371475</xdr:colOff>
      <xdr:row>7</xdr:row>
      <xdr:rowOff>219075</xdr:rowOff>
    </xdr:to>
    <xdr:pic>
      <xdr:nvPicPr>
        <xdr:cNvPr id="7" name="Grafik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1133475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164</xdr:row>
      <xdr:rowOff>133350</xdr:rowOff>
    </xdr:from>
    <xdr:to>
      <xdr:col>15</xdr:col>
      <xdr:colOff>133350</xdr:colOff>
      <xdr:row>177</xdr:row>
      <xdr:rowOff>9525</xdr:rowOff>
    </xdr:to>
    <xdr:pic>
      <xdr:nvPicPr>
        <xdr:cNvPr id="8" name="Grafik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784675"/>
          <a:ext cx="92392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</xdr:row>
      <xdr:rowOff>114300</xdr:rowOff>
    </xdr:from>
    <xdr:to>
      <xdr:col>11</xdr:col>
      <xdr:colOff>1428750</xdr:colOff>
      <xdr:row>2</xdr:row>
      <xdr:rowOff>276225</xdr:rowOff>
    </xdr:to>
    <xdr:pic>
      <xdr:nvPicPr>
        <xdr:cNvPr id="9" name="Grafik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48050" y="304800"/>
          <a:ext cx="431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210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4.28125" style="2" customWidth="1"/>
    <col min="2" max="2" width="4.00390625" style="2" customWidth="1"/>
    <col min="3" max="3" width="23.28125" style="2" customWidth="1"/>
    <col min="4" max="4" width="6.8515625" style="2" customWidth="1"/>
    <col min="5" max="5" width="5.8515625" style="2" customWidth="1"/>
    <col min="6" max="6" width="6.7109375" style="2" customWidth="1"/>
    <col min="7" max="7" width="8.7109375" style="2" customWidth="1"/>
    <col min="8" max="8" width="12.8515625" style="2" customWidth="1"/>
    <col min="9" max="9" width="8.140625" style="2" customWidth="1"/>
    <col min="10" max="10" width="8.57421875" style="2" customWidth="1"/>
    <col min="11" max="11" width="5.7109375" style="2" customWidth="1"/>
    <col min="12" max="12" width="22.28125" style="2" customWidth="1"/>
    <col min="13" max="13" width="11.7109375" style="2" customWidth="1"/>
    <col min="14" max="14" width="8.421875" style="2" customWidth="1"/>
    <col min="15" max="15" width="4.28125" style="2" customWidth="1"/>
    <col min="16" max="16" width="4.57421875" style="2" customWidth="1"/>
    <col min="17" max="16384" width="11.421875" style="2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2"/>
      <c r="P2" s="1"/>
    </row>
    <row r="3" spans="1:16" s="4" customFormat="1" ht="22.5" customHeight="1">
      <c r="A3" s="3"/>
      <c r="B3" s="173"/>
      <c r="C3" s="113"/>
      <c r="D3" s="112"/>
      <c r="E3" s="112"/>
      <c r="F3" s="112"/>
      <c r="G3" s="90"/>
      <c r="H3" s="112"/>
      <c r="I3" s="112"/>
      <c r="J3" s="112"/>
      <c r="K3" s="112"/>
      <c r="L3" s="112"/>
      <c r="M3" s="112"/>
      <c r="N3" s="112"/>
      <c r="O3" s="174"/>
      <c r="P3" s="3"/>
    </row>
    <row r="4" spans="1:16" ht="19.5" customHeight="1">
      <c r="A4" s="1"/>
      <c r="B4" s="175"/>
      <c r="C4" s="20"/>
      <c r="D4" s="20"/>
      <c r="E4" s="20"/>
      <c r="F4" s="20"/>
      <c r="G4" s="199" t="s">
        <v>275</v>
      </c>
      <c r="H4" s="20"/>
      <c r="I4" s="20"/>
      <c r="J4" s="20"/>
      <c r="K4" s="20"/>
      <c r="L4" s="20"/>
      <c r="M4" s="20"/>
      <c r="N4" s="20"/>
      <c r="O4" s="176"/>
      <c r="P4" s="1"/>
    </row>
    <row r="5" spans="1:16" ht="19.5" customHeight="1">
      <c r="A5" s="1"/>
      <c r="B5" s="175"/>
      <c r="C5" s="20"/>
      <c r="D5" s="20"/>
      <c r="E5" s="20"/>
      <c r="F5" s="20"/>
      <c r="G5" s="91" t="s">
        <v>274</v>
      </c>
      <c r="H5" s="20"/>
      <c r="I5" s="20"/>
      <c r="J5" s="20"/>
      <c r="K5" s="20"/>
      <c r="L5" s="20"/>
      <c r="M5" s="20"/>
      <c r="N5" s="20"/>
      <c r="O5" s="176"/>
      <c r="P5" s="1"/>
    </row>
    <row r="6" spans="1:16" ht="19.5" customHeight="1">
      <c r="A6" s="1"/>
      <c r="B6" s="175"/>
      <c r="C6" s="20"/>
      <c r="D6" s="20"/>
      <c r="E6" s="20"/>
      <c r="F6" s="20"/>
      <c r="G6" s="186"/>
      <c r="H6" s="20"/>
      <c r="I6" s="20"/>
      <c r="J6" s="20"/>
      <c r="K6" s="20"/>
      <c r="L6" s="20"/>
      <c r="M6" s="20"/>
      <c r="N6" s="20"/>
      <c r="O6" s="176"/>
      <c r="P6" s="1"/>
    </row>
    <row r="7" spans="1:16" ht="19.5" customHeight="1">
      <c r="A7" s="1"/>
      <c r="B7" s="175"/>
      <c r="C7" s="20"/>
      <c r="D7" s="20"/>
      <c r="E7" s="20"/>
      <c r="F7" s="20"/>
      <c r="G7" s="186"/>
      <c r="H7" s="47"/>
      <c r="I7" s="46"/>
      <c r="J7" s="46"/>
      <c r="K7" s="48"/>
      <c r="L7" s="48"/>
      <c r="M7" s="47"/>
      <c r="N7" s="46"/>
      <c r="O7" s="177"/>
      <c r="P7" s="1"/>
    </row>
    <row r="8" spans="1:16" ht="19.5" customHeight="1">
      <c r="A8" s="1"/>
      <c r="B8" s="175"/>
      <c r="C8" s="20"/>
      <c r="D8" s="20"/>
      <c r="E8" s="20"/>
      <c r="F8" s="92"/>
      <c r="G8" s="46" t="s">
        <v>78</v>
      </c>
      <c r="H8" s="93"/>
      <c r="I8" s="92"/>
      <c r="J8" s="92"/>
      <c r="K8" s="161"/>
      <c r="L8" s="161"/>
      <c r="M8" s="93"/>
      <c r="N8" s="92"/>
      <c r="O8" s="178"/>
      <c r="P8" s="1"/>
    </row>
    <row r="9" spans="1:16" ht="12.75">
      <c r="A9" s="1"/>
      <c r="B9" s="175"/>
      <c r="C9" s="20"/>
      <c r="D9" s="20"/>
      <c r="E9" s="20"/>
      <c r="F9" s="25"/>
      <c r="G9" s="31" t="s">
        <v>79</v>
      </c>
      <c r="H9" s="209" t="s">
        <v>276</v>
      </c>
      <c r="I9" s="209"/>
      <c r="J9" s="209"/>
      <c r="K9" s="209"/>
      <c r="L9" s="31" t="s">
        <v>80</v>
      </c>
      <c r="M9" s="209" t="s">
        <v>277</v>
      </c>
      <c r="N9" s="209"/>
      <c r="O9" s="179"/>
      <c r="P9" s="1"/>
    </row>
    <row r="10" spans="1:16" ht="12.75" hidden="1">
      <c r="A10" s="1"/>
      <c r="B10" s="175"/>
      <c r="C10" s="20"/>
      <c r="D10" s="20"/>
      <c r="E10" s="20"/>
      <c r="F10" s="25"/>
      <c r="G10" s="98"/>
      <c r="H10" s="32"/>
      <c r="I10" s="25"/>
      <c r="J10" s="99"/>
      <c r="K10" s="25"/>
      <c r="L10" s="98"/>
      <c r="M10" s="99"/>
      <c r="N10" s="99"/>
      <c r="O10" s="180"/>
      <c r="P10" s="1"/>
    </row>
    <row r="11" spans="1:16" ht="12.75">
      <c r="A11" s="1"/>
      <c r="B11" s="175"/>
      <c r="C11" s="20"/>
      <c r="D11" s="20"/>
      <c r="E11" s="20"/>
      <c r="F11" s="25"/>
      <c r="G11" s="196"/>
      <c r="H11" s="32"/>
      <c r="I11" s="25"/>
      <c r="J11" s="197"/>
      <c r="K11" s="25"/>
      <c r="L11" s="196"/>
      <c r="M11" s="197"/>
      <c r="N11" s="197"/>
      <c r="O11" s="198"/>
      <c r="P11" s="1"/>
    </row>
    <row r="12" spans="1:16" ht="12.75">
      <c r="A12" s="1"/>
      <c r="B12" s="175"/>
      <c r="C12" s="101" t="s">
        <v>262</v>
      </c>
      <c r="D12" s="102" t="s">
        <v>271</v>
      </c>
      <c r="E12" s="20"/>
      <c r="F12" s="25"/>
      <c r="G12" s="96" t="s">
        <v>82</v>
      </c>
      <c r="H12" s="208">
        <v>42549</v>
      </c>
      <c r="I12" s="208"/>
      <c r="J12" s="208"/>
      <c r="K12" s="208"/>
      <c r="L12" s="31" t="s">
        <v>81</v>
      </c>
      <c r="M12" s="209" t="s">
        <v>278</v>
      </c>
      <c r="N12" s="209"/>
      <c r="O12" s="178"/>
      <c r="P12" s="1"/>
    </row>
    <row r="13" spans="1:16" ht="12.75">
      <c r="A13" s="1"/>
      <c r="B13" s="175"/>
      <c r="C13" s="101" t="s">
        <v>263</v>
      </c>
      <c r="D13" s="103"/>
      <c r="E13" s="92"/>
      <c r="F13" s="25"/>
      <c r="G13" s="25"/>
      <c r="H13" s="25"/>
      <c r="I13" s="25"/>
      <c r="J13" s="25"/>
      <c r="K13" s="25"/>
      <c r="L13" s="25"/>
      <c r="M13" s="97"/>
      <c r="N13" s="25"/>
      <c r="O13" s="178"/>
      <c r="P13" s="1"/>
    </row>
    <row r="14" spans="1:16" ht="12.75">
      <c r="A14" s="1"/>
      <c r="B14" s="175"/>
      <c r="C14" s="70"/>
      <c r="D14" s="70"/>
      <c r="E14" s="92"/>
      <c r="F14" s="20"/>
      <c r="G14" s="20"/>
      <c r="H14" s="20"/>
      <c r="I14" s="20"/>
      <c r="J14" s="20"/>
      <c r="K14" s="20"/>
      <c r="L14" s="20"/>
      <c r="M14" s="20"/>
      <c r="N14" s="20"/>
      <c r="O14" s="176"/>
      <c r="P14" s="1"/>
    </row>
    <row r="15" spans="1:16" ht="15.75">
      <c r="A15" s="1"/>
      <c r="B15" s="175"/>
      <c r="C15" s="220" t="s">
        <v>0</v>
      </c>
      <c r="D15" s="220"/>
      <c r="E15" s="220"/>
      <c r="F15" s="20"/>
      <c r="G15" s="206" t="s">
        <v>70</v>
      </c>
      <c r="H15" s="206"/>
      <c r="I15" s="206"/>
      <c r="J15" s="206"/>
      <c r="K15" s="206"/>
      <c r="L15" s="206"/>
      <c r="M15" s="206"/>
      <c r="N15" s="206"/>
      <c r="O15" s="176"/>
      <c r="P15" s="1"/>
    </row>
    <row r="16" spans="1:16" ht="12.75">
      <c r="A16" s="1"/>
      <c r="B16" s="175"/>
      <c r="C16" s="70" t="s">
        <v>41</v>
      </c>
      <c r="D16" s="23">
        <v>5</v>
      </c>
      <c r="E16" s="70" t="s">
        <v>1</v>
      </c>
      <c r="F16" s="20"/>
      <c r="G16" s="201" t="s">
        <v>134</v>
      </c>
      <c r="H16" s="201"/>
      <c r="I16" s="24"/>
      <c r="J16" s="24"/>
      <c r="K16" s="25"/>
      <c r="L16" s="26" t="s">
        <v>52</v>
      </c>
      <c r="M16" s="27" t="s">
        <v>266</v>
      </c>
      <c r="N16" s="25"/>
      <c r="O16" s="176"/>
      <c r="P16" s="1"/>
    </row>
    <row r="17" spans="1:16" ht="14.25">
      <c r="A17" s="1"/>
      <c r="B17" s="175"/>
      <c r="C17" s="70" t="s">
        <v>241</v>
      </c>
      <c r="D17" s="28">
        <v>16</v>
      </c>
      <c r="E17" s="70" t="s">
        <v>2</v>
      </c>
      <c r="F17" s="20"/>
      <c r="G17" s="29" t="s">
        <v>55</v>
      </c>
      <c r="H17" s="29"/>
      <c r="I17" s="29"/>
      <c r="J17" s="29"/>
      <c r="K17" s="25"/>
      <c r="L17" s="25" t="s">
        <v>123</v>
      </c>
      <c r="M17" s="167">
        <f>IF(D12="nein",I19/M145,"Sonderfall")</f>
        <v>0.4224634143559462</v>
      </c>
      <c r="N17" s="24" t="str">
        <f>IF(M17&lt;=1,"O.K.","Achtung")</f>
        <v>O.K.</v>
      </c>
      <c r="O17" s="176"/>
      <c r="P17" s="1"/>
    </row>
    <row r="18" spans="1:16" ht="14.25">
      <c r="A18" s="1"/>
      <c r="B18" s="175"/>
      <c r="C18" s="70" t="s">
        <v>242</v>
      </c>
      <c r="D18" s="28">
        <v>20</v>
      </c>
      <c r="E18" s="70" t="s">
        <v>2</v>
      </c>
      <c r="F18" s="20"/>
      <c r="G18" s="30" t="s">
        <v>57</v>
      </c>
      <c r="H18" s="30"/>
      <c r="I18" s="30"/>
      <c r="J18" s="30"/>
      <c r="K18" s="25"/>
      <c r="L18" s="25" t="s">
        <v>124</v>
      </c>
      <c r="M18" s="167">
        <f>IF(D12="nein",I23/M146,"Sonderfall")</f>
        <v>0.2644805027280711</v>
      </c>
      <c r="N18" s="24" t="str">
        <f>IF(M18&lt;=1,"O.K.","Achtung")</f>
        <v>O.K.</v>
      </c>
      <c r="O18" s="176"/>
      <c r="P18" s="1"/>
    </row>
    <row r="19" spans="1:16" ht="14.25">
      <c r="A19" s="1"/>
      <c r="B19" s="175"/>
      <c r="C19" s="70" t="s">
        <v>243</v>
      </c>
      <c r="D19" s="28">
        <v>8</v>
      </c>
      <c r="E19" s="70" t="s">
        <v>2</v>
      </c>
      <c r="F19" s="20"/>
      <c r="G19" s="31" t="s">
        <v>28</v>
      </c>
      <c r="H19" s="31"/>
      <c r="I19" s="32">
        <f>-M128*10^6/H133*D124*(H128*H132+D19*10/2)</f>
        <v>-4.773836582222192</v>
      </c>
      <c r="J19" s="25" t="s">
        <v>135</v>
      </c>
      <c r="K19" s="25"/>
      <c r="L19" s="25" t="s">
        <v>261</v>
      </c>
      <c r="M19" s="167">
        <f>IF(D12="nein",(3/2*(M129*1000)/M134)/M147,"Sonderfall")</f>
        <v>0.1370872662327935</v>
      </c>
      <c r="N19" s="24" t="str">
        <f>IF(M19&lt;=1,"O.K.","Achtung")</f>
        <v>O.K.</v>
      </c>
      <c r="O19" s="176"/>
      <c r="P19" s="1"/>
    </row>
    <row r="20" spans="1:16" ht="12.75">
      <c r="A20" s="1"/>
      <c r="B20" s="175"/>
      <c r="C20" s="20"/>
      <c r="D20" s="20"/>
      <c r="E20" s="20"/>
      <c r="F20" s="20"/>
      <c r="G20" s="31" t="s">
        <v>29</v>
      </c>
      <c r="H20" s="31"/>
      <c r="I20" s="32">
        <f>-M128*10^6/H133*D124*(H128*H132-D19*10/2)</f>
        <v>2.5181920084849643</v>
      </c>
      <c r="J20" s="25" t="s">
        <v>135</v>
      </c>
      <c r="K20" s="25"/>
      <c r="L20" s="25" t="s">
        <v>268</v>
      </c>
      <c r="M20" s="167">
        <f>IF(D12="nein",D128/D127,"Sonderfall")</f>
        <v>0.9228897395374349</v>
      </c>
      <c r="N20" s="24" t="str">
        <f>IF(M20&lt;=1,"O.K.","Achtung")</f>
        <v>O.K.</v>
      </c>
      <c r="O20" s="176"/>
      <c r="P20" s="1"/>
    </row>
    <row r="21" spans="1:16" ht="12.75">
      <c r="A21" s="1"/>
      <c r="B21" s="175"/>
      <c r="C21" s="225" t="s">
        <v>3</v>
      </c>
      <c r="D21" s="225"/>
      <c r="E21" s="225"/>
      <c r="F21" s="20"/>
      <c r="G21" s="30" t="s">
        <v>56</v>
      </c>
      <c r="H21" s="30"/>
      <c r="I21" s="30"/>
      <c r="J21" s="30"/>
      <c r="K21" s="25"/>
      <c r="L21" s="26" t="s">
        <v>53</v>
      </c>
      <c r="M21" s="86"/>
      <c r="N21" s="25"/>
      <c r="O21" s="176"/>
      <c r="P21" s="1"/>
    </row>
    <row r="22" spans="1:16" ht="12.75">
      <c r="A22" s="1"/>
      <c r="B22" s="175"/>
      <c r="C22" s="33" t="s">
        <v>8</v>
      </c>
      <c r="D22" s="33"/>
      <c r="E22" s="33"/>
      <c r="F22" s="20"/>
      <c r="G22" s="31" t="s">
        <v>30</v>
      </c>
      <c r="H22" s="31"/>
      <c r="I22" s="32">
        <f>M128*10^6/H133*(H131-D18*10/2)</f>
        <v>-3.0086811193313228</v>
      </c>
      <c r="J22" s="25" t="s">
        <v>135</v>
      </c>
      <c r="K22" s="25"/>
      <c r="L22" s="25" t="s">
        <v>66</v>
      </c>
      <c r="M22" s="34">
        <f>5*(M123+M124)*D18/100*D16^4/(384*I133*10^-12*D123*10^6)*1000</f>
        <v>5.073486951482414</v>
      </c>
      <c r="N22" s="25" t="s">
        <v>25</v>
      </c>
      <c r="O22" s="176"/>
      <c r="P22" s="1"/>
    </row>
    <row r="23" spans="1:16" ht="12.75">
      <c r="A23" s="1"/>
      <c r="B23" s="175"/>
      <c r="C23" s="33" t="s">
        <v>68</v>
      </c>
      <c r="D23" s="33"/>
      <c r="E23" s="33"/>
      <c r="F23" s="35"/>
      <c r="G23" s="31" t="s">
        <v>31</v>
      </c>
      <c r="H23" s="31"/>
      <c r="I23" s="32">
        <f>M128*10^6/H133*(H131+D18*10/2)</f>
        <v>3.9061735787530503</v>
      </c>
      <c r="J23" s="25" t="s">
        <v>135</v>
      </c>
      <c r="K23" s="25"/>
      <c r="L23" s="25" t="s">
        <v>40</v>
      </c>
      <c r="M23" s="36" t="s">
        <v>264</v>
      </c>
      <c r="N23" s="25"/>
      <c r="O23" s="176"/>
      <c r="P23" s="1"/>
    </row>
    <row r="24" spans="1:16" ht="12.75">
      <c r="A24" s="1"/>
      <c r="B24" s="175"/>
      <c r="C24" s="33" t="s">
        <v>69</v>
      </c>
      <c r="D24" s="33"/>
      <c r="E24" s="33"/>
      <c r="F24" s="20"/>
      <c r="G24" s="31" t="s">
        <v>12</v>
      </c>
      <c r="H24" s="31"/>
      <c r="I24" s="32">
        <f>3/2*(M129)*1000/M134</f>
        <v>0.168722789209592</v>
      </c>
      <c r="J24" s="25" t="s">
        <v>135</v>
      </c>
      <c r="K24" s="25"/>
      <c r="L24" s="25" t="s">
        <v>73</v>
      </c>
      <c r="M24" s="167">
        <f>IF(D12="nein",IF(M23="l/150",M22/(D16*1000/150),IF(M23="l/250",M22/(D16*1000/250),IF(M23="l/300",M22/(D16*1000/300),M22/(D16*1000/350)))),"Sonderfall")</f>
        <v>0.35514408660376895</v>
      </c>
      <c r="N24" s="24" t="str">
        <f>IF(M24&lt;=1,"O.K.","Achtung")</f>
        <v>O.K.</v>
      </c>
      <c r="O24" s="176"/>
      <c r="P24" s="1"/>
    </row>
    <row r="25" spans="1:16" ht="15.75">
      <c r="A25" s="1"/>
      <c r="B25" s="175"/>
      <c r="C25" s="70" t="s">
        <v>4</v>
      </c>
      <c r="D25" s="37">
        <v>2.5</v>
      </c>
      <c r="E25" s="70" t="s">
        <v>244</v>
      </c>
      <c r="F25" s="20"/>
      <c r="G25" s="20"/>
      <c r="H25" s="20"/>
      <c r="I25" s="20"/>
      <c r="J25" s="20"/>
      <c r="K25" s="20"/>
      <c r="L25" s="20"/>
      <c r="M25" s="20"/>
      <c r="N25" s="20"/>
      <c r="O25" s="176"/>
      <c r="P25" s="1"/>
    </row>
    <row r="26" spans="1:16" ht="16.5">
      <c r="A26" s="1"/>
      <c r="B26" s="175"/>
      <c r="C26" s="70" t="s">
        <v>5</v>
      </c>
      <c r="D26" s="37">
        <v>2</v>
      </c>
      <c r="E26" s="70" t="s">
        <v>244</v>
      </c>
      <c r="F26" s="20"/>
      <c r="G26" s="206" t="s">
        <v>71</v>
      </c>
      <c r="H26" s="206"/>
      <c r="I26" s="206"/>
      <c r="J26" s="206"/>
      <c r="K26" s="206"/>
      <c r="L26" s="206"/>
      <c r="M26" s="206"/>
      <c r="N26" s="206"/>
      <c r="O26" s="176"/>
      <c r="P26" s="1"/>
    </row>
    <row r="27" spans="1:16" ht="12.75">
      <c r="A27" s="1"/>
      <c r="B27" s="175"/>
      <c r="C27" s="70" t="s">
        <v>33</v>
      </c>
      <c r="D27" s="105">
        <v>33</v>
      </c>
      <c r="E27" s="70" t="s">
        <v>26</v>
      </c>
      <c r="F27" s="20"/>
      <c r="G27" s="201" t="s">
        <v>134</v>
      </c>
      <c r="H27" s="201"/>
      <c r="I27" s="24"/>
      <c r="J27" s="24"/>
      <c r="K27" s="25"/>
      <c r="L27" s="26" t="s">
        <v>52</v>
      </c>
      <c r="M27" s="27" t="s">
        <v>266</v>
      </c>
      <c r="N27" s="25"/>
      <c r="O27" s="176"/>
      <c r="P27" s="1"/>
    </row>
    <row r="28" spans="1:16" ht="12.75">
      <c r="A28" s="1"/>
      <c r="B28" s="175"/>
      <c r="C28" s="20"/>
      <c r="D28" s="20"/>
      <c r="E28" s="20"/>
      <c r="F28" s="20"/>
      <c r="G28" s="29" t="s">
        <v>55</v>
      </c>
      <c r="H28" s="29"/>
      <c r="I28" s="29"/>
      <c r="J28" s="29"/>
      <c r="K28" s="25"/>
      <c r="L28" s="25" t="s">
        <v>123</v>
      </c>
      <c r="M28" s="167">
        <f>IF(D12="nein",I30/M145,"Sonderfall")</f>
        <v>0.2687259603790055</v>
      </c>
      <c r="N28" s="24" t="str">
        <f>IF(M28&lt;=1,"O.K.","Achtung")</f>
        <v>O.K.</v>
      </c>
      <c r="O28" s="176"/>
      <c r="P28" s="1"/>
    </row>
    <row r="29" spans="1:16" ht="12.75">
      <c r="A29" s="1"/>
      <c r="B29" s="175"/>
      <c r="C29" s="220" t="s">
        <v>6</v>
      </c>
      <c r="D29" s="220"/>
      <c r="E29" s="220"/>
      <c r="F29" s="20"/>
      <c r="G29" s="30" t="s">
        <v>57</v>
      </c>
      <c r="H29" s="30"/>
      <c r="I29" s="30"/>
      <c r="J29" s="30"/>
      <c r="K29" s="25"/>
      <c r="L29" s="25" t="s">
        <v>124</v>
      </c>
      <c r="M29" s="167">
        <f>IF(D12="nein",I34/M146,"Sonderfall")</f>
        <v>0.29604094741087766</v>
      </c>
      <c r="N29" s="24" t="str">
        <f>IF(M29&lt;=1,"O.K.","Achtung")</f>
        <v>O.K.</v>
      </c>
      <c r="O29" s="176"/>
      <c r="P29" s="1"/>
    </row>
    <row r="30" spans="1:16" ht="12.75">
      <c r="A30" s="1"/>
      <c r="B30" s="175"/>
      <c r="C30" s="70" t="s">
        <v>7</v>
      </c>
      <c r="D30" s="36" t="s">
        <v>272</v>
      </c>
      <c r="E30" s="106"/>
      <c r="F30" s="20"/>
      <c r="G30" s="31" t="s">
        <v>28</v>
      </c>
      <c r="H30" s="31"/>
      <c r="I30" s="32">
        <f>-M128*10^6/H150*D141*(H145*H149+D19*10/2)</f>
        <v>-3.036603352282762</v>
      </c>
      <c r="J30" s="25" t="s">
        <v>135</v>
      </c>
      <c r="K30" s="25"/>
      <c r="L30" s="25" t="s">
        <v>125</v>
      </c>
      <c r="M30" s="167">
        <f>IF(D12="nein",M19,"Sonderfall")</f>
        <v>0.1370872662327935</v>
      </c>
      <c r="N30" s="24" t="str">
        <f>IF(M30&lt;=1,"O.K.","Achtung")</f>
        <v>O.K.</v>
      </c>
      <c r="O30" s="176"/>
      <c r="P30" s="1"/>
    </row>
    <row r="31" spans="1:16" ht="12.75">
      <c r="A31" s="1"/>
      <c r="B31" s="175"/>
      <c r="C31" s="70" t="s">
        <v>75</v>
      </c>
      <c r="D31" s="36" t="s">
        <v>273</v>
      </c>
      <c r="E31" s="106"/>
      <c r="F31" s="20"/>
      <c r="G31" s="31" t="s">
        <v>29</v>
      </c>
      <c r="H31" s="31"/>
      <c r="I31" s="32">
        <f>-M128*10^6/H150*D141*(H145*H149-D19*10/2)</f>
        <v>0.7380879498349989</v>
      </c>
      <c r="J31" s="25" t="s">
        <v>135</v>
      </c>
      <c r="K31" s="25"/>
      <c r="L31" s="25" t="s">
        <v>268</v>
      </c>
      <c r="M31" s="167">
        <f>IF(D12="nein",D145/D144,"Sonderfall")</f>
        <v>0.9404302015424334</v>
      </c>
      <c r="N31" s="24" t="str">
        <f>IF(M31&lt;=1,"O.K.","Achtung")</f>
        <v>O.K.</v>
      </c>
      <c r="O31" s="176"/>
      <c r="P31" s="1"/>
    </row>
    <row r="32" spans="1:16" ht="12.75">
      <c r="A32" s="1"/>
      <c r="B32" s="175"/>
      <c r="C32" s="70"/>
      <c r="D32" s="38"/>
      <c r="E32" s="107"/>
      <c r="F32" s="20"/>
      <c r="G32" s="30" t="s">
        <v>56</v>
      </c>
      <c r="H32" s="30"/>
      <c r="I32" s="30"/>
      <c r="J32" s="30"/>
      <c r="K32" s="25"/>
      <c r="L32" s="26" t="s">
        <v>53</v>
      </c>
      <c r="M32" s="25"/>
      <c r="N32" s="25"/>
      <c r="O32" s="176"/>
      <c r="P32" s="1"/>
    </row>
    <row r="33" spans="1:16" ht="12.75">
      <c r="A33" s="1"/>
      <c r="B33" s="175"/>
      <c r="C33" s="70"/>
      <c r="D33" s="38"/>
      <c r="E33" s="107"/>
      <c r="F33" s="20"/>
      <c r="G33" s="31" t="s">
        <v>30</v>
      </c>
      <c r="H33" s="31"/>
      <c r="I33" s="32">
        <f>M128*10^6/H150*(H148-D18*10/2)</f>
        <v>-3.457746849271917</v>
      </c>
      <c r="J33" s="25" t="s">
        <v>135</v>
      </c>
      <c r="K33" s="25"/>
      <c r="L33" s="25" t="s">
        <v>72</v>
      </c>
      <c r="M33" s="34">
        <f>5*(M123/(I150*10^-12*D140*10^6)+M124/(I133*10^-12*D123*10^6))*D18/100*D16^4/384*1000</f>
        <v>8.45532398575384</v>
      </c>
      <c r="N33" s="25" t="s">
        <v>25</v>
      </c>
      <c r="O33" s="176"/>
      <c r="P33" s="1"/>
    </row>
    <row r="34" spans="1:16" ht="12.75">
      <c r="A34" s="1"/>
      <c r="B34" s="175"/>
      <c r="C34" s="220" t="s">
        <v>251</v>
      </c>
      <c r="D34" s="220"/>
      <c r="E34" s="220"/>
      <c r="F34" s="20"/>
      <c r="G34" s="31" t="s">
        <v>31</v>
      </c>
      <c r="H34" s="31"/>
      <c r="I34" s="32">
        <f>M128*10^6/H150*(H148+D18*10/2)</f>
        <v>4.372297069452963</v>
      </c>
      <c r="J34" s="25" t="s">
        <v>135</v>
      </c>
      <c r="K34" s="25"/>
      <c r="L34" s="25" t="s">
        <v>40</v>
      </c>
      <c r="M34" s="36" t="s">
        <v>265</v>
      </c>
      <c r="N34" s="25"/>
      <c r="O34" s="176"/>
      <c r="P34" s="1"/>
    </row>
    <row r="35" spans="1:16" ht="12.75">
      <c r="A35" s="1"/>
      <c r="B35" s="175"/>
      <c r="C35" s="25" t="s">
        <v>39</v>
      </c>
      <c r="D35" s="28">
        <v>320</v>
      </c>
      <c r="E35" s="25" t="s">
        <v>25</v>
      </c>
      <c r="F35" s="20"/>
      <c r="G35" s="31" t="s">
        <v>12</v>
      </c>
      <c r="H35" s="31"/>
      <c r="I35" s="32">
        <f>I24</f>
        <v>0.168722789209592</v>
      </c>
      <c r="J35" s="25" t="s">
        <v>135</v>
      </c>
      <c r="K35" s="25"/>
      <c r="L35" s="25" t="s">
        <v>42</v>
      </c>
      <c r="M35" s="167">
        <f>IF(D12="nein",IF(M34="l/150",M33/(D16*1000/150),IF(M34="l/250",M33/(D16*1000/250),IF(M34="l/300",M33/(D16*1000/300),M33/(D16*1000/350)))),"Sonderfall")</f>
        <v>0.422766199287692</v>
      </c>
      <c r="N35" s="24" t="str">
        <f>IF(M35&lt;=1,"O.K.","Achtung")</f>
        <v>O.K.</v>
      </c>
      <c r="O35" s="176"/>
      <c r="P35" s="1"/>
    </row>
    <row r="36" spans="1:16" ht="12.75">
      <c r="A36" s="1"/>
      <c r="B36" s="175"/>
      <c r="C36" s="20"/>
      <c r="D36" s="40"/>
      <c r="E36" s="20"/>
      <c r="F36" s="20"/>
      <c r="G36" s="169"/>
      <c r="H36" s="169"/>
      <c r="I36" s="169"/>
      <c r="J36" s="169"/>
      <c r="K36" s="169"/>
      <c r="L36" s="169"/>
      <c r="M36" s="169"/>
      <c r="N36" s="169"/>
      <c r="O36" s="176"/>
      <c r="P36" s="1"/>
    </row>
    <row r="37" spans="1:16" ht="12.75">
      <c r="A37" s="1"/>
      <c r="B37" s="175"/>
      <c r="C37" s="45" t="s">
        <v>220</v>
      </c>
      <c r="D37" s="40"/>
      <c r="E37" s="20"/>
      <c r="F37" s="20"/>
      <c r="G37" s="169"/>
      <c r="H37" s="169"/>
      <c r="I37" s="169"/>
      <c r="J37" s="169"/>
      <c r="K37" s="169"/>
      <c r="L37" s="169"/>
      <c r="M37" s="169"/>
      <c r="N37" s="169"/>
      <c r="O37" s="176"/>
      <c r="P37" s="1"/>
    </row>
    <row r="38" spans="1:16" ht="12.75">
      <c r="A38" s="1"/>
      <c r="B38" s="175"/>
      <c r="C38" s="20"/>
      <c r="D38" s="42"/>
      <c r="E38" s="20"/>
      <c r="F38" s="20"/>
      <c r="G38" s="161"/>
      <c r="H38" s="161"/>
      <c r="I38" s="93"/>
      <c r="J38" s="92"/>
      <c r="K38" s="92"/>
      <c r="L38" s="92"/>
      <c r="M38" s="109"/>
      <c r="N38" s="110"/>
      <c r="O38" s="176"/>
      <c r="P38" s="1"/>
    </row>
    <row r="39" spans="1:16" ht="12.75" customHeight="1">
      <c r="A39" s="1"/>
      <c r="B39" s="175"/>
      <c r="C39" s="20"/>
      <c r="D39" s="42"/>
      <c r="E39" s="20"/>
      <c r="F39" s="20"/>
      <c r="G39" s="41"/>
      <c r="H39" s="41"/>
      <c r="I39" s="42"/>
      <c r="J39" s="20"/>
      <c r="K39" s="20"/>
      <c r="L39" s="20"/>
      <c r="M39" s="43"/>
      <c r="N39" s="44"/>
      <c r="O39" s="176"/>
      <c r="P39" s="1"/>
    </row>
    <row r="40" spans="1:16" ht="12.75" customHeight="1">
      <c r="A40" s="1"/>
      <c r="B40" s="175"/>
      <c r="C40" s="50"/>
      <c r="D40" s="42"/>
      <c r="E40" s="50"/>
      <c r="F40" s="50"/>
      <c r="G40" s="50"/>
      <c r="H40" s="41"/>
      <c r="I40" s="51"/>
      <c r="J40" s="51"/>
      <c r="K40" s="51"/>
      <c r="L40" s="20"/>
      <c r="M40" s="52"/>
      <c r="N40" s="52"/>
      <c r="O40" s="176"/>
      <c r="P40" s="1"/>
    </row>
    <row r="41" spans="1:16" s="6" customFormat="1" ht="14.25" customHeight="1">
      <c r="A41" s="1"/>
      <c r="B41" s="175"/>
      <c r="C41" s="206" t="s">
        <v>252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176"/>
      <c r="P41" s="1"/>
    </row>
    <row r="42" spans="1:16" s="8" customFormat="1" ht="15" customHeight="1">
      <c r="A42" s="7"/>
      <c r="B42" s="181"/>
      <c r="C42" s="45"/>
      <c r="D42" s="45"/>
      <c r="E42" s="45"/>
      <c r="F42" s="45"/>
      <c r="G42" s="224" t="s">
        <v>54</v>
      </c>
      <c r="H42" s="224"/>
      <c r="I42" s="224"/>
      <c r="J42" s="44">
        <f>E53</f>
        <v>1</v>
      </c>
      <c r="K42" s="45"/>
      <c r="L42" s="45"/>
      <c r="M42" s="45"/>
      <c r="N42" s="45"/>
      <c r="O42" s="182"/>
      <c r="P42" s="7"/>
    </row>
    <row r="43" spans="1:16" ht="15" customHeight="1">
      <c r="A43" s="1"/>
      <c r="B43" s="17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76"/>
      <c r="P43" s="1"/>
    </row>
    <row r="44" spans="1:16" ht="15" customHeight="1">
      <c r="A44" s="1"/>
      <c r="B44" s="17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76"/>
      <c r="P44" s="1"/>
    </row>
    <row r="45" spans="1:16" ht="15" customHeight="1">
      <c r="A45" s="1"/>
      <c r="B45" s="17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76"/>
      <c r="P45" s="1"/>
    </row>
    <row r="46" spans="1:16" s="8" customFormat="1" ht="15" customHeight="1">
      <c r="A46" s="7"/>
      <c r="B46" s="181"/>
      <c r="C46" s="54" t="s">
        <v>51</v>
      </c>
      <c r="D46" s="55">
        <f>E54</f>
        <v>320</v>
      </c>
      <c r="E46" s="45"/>
      <c r="F46" s="45"/>
      <c r="G46" s="20" t="s">
        <v>39</v>
      </c>
      <c r="H46" s="55">
        <f>E55</f>
        <v>320</v>
      </c>
      <c r="I46" s="45"/>
      <c r="J46" s="20" t="s">
        <v>50</v>
      </c>
      <c r="K46" s="55">
        <f>E55</f>
        <v>320</v>
      </c>
      <c r="L46" s="54" t="s">
        <v>39</v>
      </c>
      <c r="M46" s="55">
        <f>E54</f>
        <v>320</v>
      </c>
      <c r="N46" s="45"/>
      <c r="O46" s="182"/>
      <c r="P46" s="7"/>
    </row>
    <row r="47" spans="1:16" s="8" customFormat="1" ht="15" customHeight="1">
      <c r="A47" s="7"/>
      <c r="B47" s="181"/>
      <c r="C47" s="42">
        <f>D16/4</f>
        <v>1.25</v>
      </c>
      <c r="D47" s="45" t="s">
        <v>1</v>
      </c>
      <c r="E47" s="45"/>
      <c r="F47" s="45"/>
      <c r="G47" s="56">
        <f>D16/4</f>
        <v>1.25</v>
      </c>
      <c r="H47" s="50" t="s">
        <v>1</v>
      </c>
      <c r="I47" s="45"/>
      <c r="J47" s="56">
        <f>D16/4</f>
        <v>1.25</v>
      </c>
      <c r="K47" s="57" t="s">
        <v>1</v>
      </c>
      <c r="L47" s="56">
        <f>D16/4</f>
        <v>1.25</v>
      </c>
      <c r="M47" s="57" t="s">
        <v>1</v>
      </c>
      <c r="N47" s="45"/>
      <c r="O47" s="182"/>
      <c r="P47" s="7"/>
    </row>
    <row r="48" spans="1:16" s="8" customFormat="1" ht="15" customHeight="1">
      <c r="A48" s="7"/>
      <c r="B48" s="181"/>
      <c r="C48" s="57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182"/>
      <c r="P48" s="7"/>
    </row>
    <row r="49" spans="1:16" s="8" customFormat="1" ht="15" customHeight="1">
      <c r="A49" s="7"/>
      <c r="B49" s="181"/>
      <c r="C49" s="45"/>
      <c r="D49" s="45"/>
      <c r="E49" s="45"/>
      <c r="F49" s="45"/>
      <c r="G49" s="45"/>
      <c r="H49" s="45"/>
      <c r="I49" s="51">
        <f>D16</f>
        <v>5</v>
      </c>
      <c r="J49" s="45" t="s">
        <v>1</v>
      </c>
      <c r="K49" s="45"/>
      <c r="L49" s="45"/>
      <c r="M49" s="45"/>
      <c r="N49" s="45"/>
      <c r="O49" s="182"/>
      <c r="P49" s="7"/>
    </row>
    <row r="50" spans="1:16" ht="15" customHeight="1">
      <c r="A50" s="1"/>
      <c r="B50" s="175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76"/>
      <c r="P50" s="1"/>
    </row>
    <row r="51" spans="1:16" ht="14.25" customHeight="1">
      <c r="A51" s="1"/>
      <c r="B51" s="175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76"/>
      <c r="P51" s="1"/>
    </row>
    <row r="52" spans="1:16" ht="14.25" customHeight="1">
      <c r="A52" s="1"/>
      <c r="B52" s="175"/>
      <c r="C52" s="223" t="s">
        <v>43</v>
      </c>
      <c r="D52" s="223"/>
      <c r="E52" s="223"/>
      <c r="F52" s="223"/>
      <c r="G52" s="20"/>
      <c r="H52" s="20"/>
      <c r="I52" s="20"/>
      <c r="J52" s="20"/>
      <c r="K52" s="20"/>
      <c r="L52" s="20"/>
      <c r="M52" s="20"/>
      <c r="N52" s="20"/>
      <c r="O52" s="176"/>
      <c r="P52" s="1"/>
    </row>
    <row r="53" spans="1:16" ht="14.25" customHeight="1">
      <c r="A53" s="1"/>
      <c r="B53" s="175"/>
      <c r="C53" s="200" t="s">
        <v>49</v>
      </c>
      <c r="D53" s="200"/>
      <c r="E53" s="27">
        <f>ROUNDDOWN(79.99/D35,0)+1</f>
        <v>1</v>
      </c>
      <c r="F53" s="25"/>
      <c r="G53" s="20"/>
      <c r="H53" s="20"/>
      <c r="I53" s="58" t="str">
        <f>IF(E56&gt;0,"Die Längsabstände der Verbinder sind in mm angegeben. ","Die Mindestabstände der Verbundelemente sind nicht eingehalten !")</f>
        <v>Die Längsabstände der Verbinder sind in mm angegeben. </v>
      </c>
      <c r="J53" s="58"/>
      <c r="K53" s="58"/>
      <c r="L53" s="58"/>
      <c r="M53" s="58"/>
      <c r="N53" s="20"/>
      <c r="O53" s="176"/>
      <c r="P53" s="1"/>
    </row>
    <row r="54" spans="1:16" ht="14.25" customHeight="1">
      <c r="A54" s="1"/>
      <c r="B54" s="175"/>
      <c r="C54" s="25" t="s">
        <v>44</v>
      </c>
      <c r="D54" s="25"/>
      <c r="E54" s="59">
        <f>IF(D35*E53&lt;=320,D35*E53,320)</f>
        <v>320</v>
      </c>
      <c r="F54" s="25" t="s">
        <v>25</v>
      </c>
      <c r="G54" s="20"/>
      <c r="H54" s="20"/>
      <c r="I54" s="221" t="str">
        <f>IF(E56&gt;0,"Der Mindestabstand quer zur Tragrichtung zwischen den  "," ")</f>
        <v>Der Mindestabstand quer zur Tragrichtung zwischen den  </v>
      </c>
      <c r="J54" s="221"/>
      <c r="K54" s="221"/>
      <c r="L54" s="221"/>
      <c r="M54" s="221"/>
      <c r="N54" s="20"/>
      <c r="O54" s="176"/>
      <c r="P54" s="1"/>
    </row>
    <row r="55" spans="1:16" ht="14.25" customHeight="1">
      <c r="A55" s="1"/>
      <c r="B55" s="175"/>
      <c r="C55" s="25" t="s">
        <v>45</v>
      </c>
      <c r="D55" s="25"/>
      <c r="E55" s="59">
        <f>IF(2*D35*E53&lt;=320,2*D35*E53,320)</f>
        <v>320</v>
      </c>
      <c r="F55" s="25" t="s">
        <v>25</v>
      </c>
      <c r="G55" s="20"/>
      <c r="H55" s="20"/>
      <c r="I55" s="221" t="str">
        <f>IF(E56&gt;0,"Reihen und den Balkenrändern beträgt 30mm. ","Vergrössern Sie den Abstand in Zelle C35.")</f>
        <v>Reihen und den Balkenrändern beträgt 30mm. </v>
      </c>
      <c r="J55" s="221"/>
      <c r="K55" s="221"/>
      <c r="L55" s="221"/>
      <c r="M55" s="221"/>
      <c r="N55" s="20"/>
      <c r="O55" s="176"/>
      <c r="P55" s="1"/>
    </row>
    <row r="56" spans="1:16" ht="14.25" customHeight="1">
      <c r="A56" s="1"/>
      <c r="B56" s="175"/>
      <c r="C56" s="25" t="s">
        <v>46</v>
      </c>
      <c r="D56" s="25"/>
      <c r="E56" s="59">
        <f>IF(D17/(J42+1)&gt;=3,2*E53*(ROUNDDOWN(D16/4*1000/E54,0)+ROUNDDOWN(D16/4*1000/E55,0)),0)</f>
        <v>12</v>
      </c>
      <c r="F56" s="25" t="s">
        <v>47</v>
      </c>
      <c r="G56" s="20"/>
      <c r="H56" s="20"/>
      <c r="I56" s="221" t="str">
        <f>IF(E56&gt;0,"Die Neigung der Verbundelemente beträgt 45°. "," ")</f>
        <v>Die Neigung der Verbundelemente beträgt 45°. </v>
      </c>
      <c r="J56" s="221"/>
      <c r="K56" s="221"/>
      <c r="L56" s="221"/>
      <c r="M56" s="221"/>
      <c r="N56" s="20"/>
      <c r="O56" s="176"/>
      <c r="P56" s="1"/>
    </row>
    <row r="57" spans="1:16" ht="14.25" customHeight="1">
      <c r="A57" s="1"/>
      <c r="B57" s="175"/>
      <c r="C57" s="200" t="s">
        <v>245</v>
      </c>
      <c r="D57" s="200"/>
      <c r="E57" s="34">
        <f>E56/(D16*D18/100)</f>
        <v>12</v>
      </c>
      <c r="F57" s="25" t="s">
        <v>47</v>
      </c>
      <c r="G57" s="20"/>
      <c r="H57" s="20"/>
      <c r="I57" s="20"/>
      <c r="J57" s="20"/>
      <c r="K57" s="20"/>
      <c r="L57" s="20"/>
      <c r="M57" s="20"/>
      <c r="N57" s="20"/>
      <c r="O57" s="176"/>
      <c r="P57" s="1"/>
    </row>
    <row r="58" spans="1:16" ht="14.25" customHeight="1">
      <c r="A58" s="1"/>
      <c r="B58" s="175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176"/>
      <c r="P58" s="1"/>
    </row>
    <row r="59" spans="1:16" ht="14.25" customHeight="1">
      <c r="A59" s="1"/>
      <c r="B59" s="183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5"/>
      <c r="P59" s="1"/>
    </row>
    <row r="60" spans="1:16" ht="14.25" customHeight="1">
      <c r="A60" s="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"/>
    </row>
    <row r="61" spans="1:16" ht="14.25" customHeight="1">
      <c r="A61" s="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1"/>
    </row>
    <row r="62" spans="2:15" s="9" customFormat="1" ht="14.25" customHeight="1">
      <c r="B62" s="60"/>
      <c r="C62" s="222" t="s">
        <v>85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</row>
    <row r="63" spans="2:15" ht="14.25" customHeight="1">
      <c r="B63" s="61"/>
      <c r="C63" s="62" t="s">
        <v>86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/>
    </row>
    <row r="64" spans="2:15" ht="14.25" customHeight="1">
      <c r="B64" s="22"/>
      <c r="C64" s="63" t="s">
        <v>270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4"/>
    </row>
    <row r="65" spans="2:15" ht="14.25" customHeight="1">
      <c r="B65" s="22"/>
      <c r="C65" s="63" t="s">
        <v>279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2:15" ht="14.25" customHeight="1">
      <c r="B66" s="22"/>
      <c r="C66" s="63" t="s">
        <v>269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  <row r="67" spans="2:15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15" s="8" customFormat="1" ht="12.75">
      <c r="B68" s="65"/>
      <c r="C68" s="65" t="s">
        <v>87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2:15" ht="14.25" customHeight="1">
      <c r="B69" s="22"/>
      <c r="C69" s="63" t="s">
        <v>83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</row>
    <row r="70" spans="2:15" ht="14.25" customHeight="1">
      <c r="B70" s="22"/>
      <c r="C70" s="63" t="s">
        <v>84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4"/>
    </row>
    <row r="71" spans="2:15" ht="14.25" customHeight="1">
      <c r="B71" s="22"/>
      <c r="C71" s="63" t="s">
        <v>88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</row>
    <row r="72" spans="2:15" ht="14.25" customHeight="1">
      <c r="B72" s="22"/>
      <c r="C72" s="63" t="s">
        <v>89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2:15" ht="14.25" customHeight="1">
      <c r="B73" s="111"/>
      <c r="C73" s="111" t="s">
        <v>253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22"/>
    </row>
    <row r="74" spans="2:14" ht="14.25" customHeight="1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6" ht="14.25" customHeight="1">
      <c r="A75" s="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1"/>
    </row>
    <row r="76" spans="1:16" ht="14.25" customHeight="1">
      <c r="A76" s="1"/>
      <c r="B76" s="170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2"/>
      <c r="P76" s="1"/>
    </row>
    <row r="77" spans="1:16" ht="14.25" customHeight="1">
      <c r="A77" s="1"/>
      <c r="B77" s="175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76"/>
      <c r="P77" s="1"/>
    </row>
    <row r="78" spans="1:16" ht="14.25" customHeight="1">
      <c r="A78" s="1"/>
      <c r="B78" s="175"/>
      <c r="C78" s="169"/>
      <c r="D78" s="169"/>
      <c r="E78" s="169"/>
      <c r="F78" s="169"/>
      <c r="G78" s="90" t="s">
        <v>240</v>
      </c>
      <c r="H78" s="169"/>
      <c r="I78" s="169"/>
      <c r="J78" s="169"/>
      <c r="K78" s="169"/>
      <c r="L78" s="169"/>
      <c r="M78" s="169"/>
      <c r="N78" s="169"/>
      <c r="O78" s="176"/>
      <c r="P78" s="1"/>
    </row>
    <row r="79" spans="1:16" ht="14.25" customHeight="1">
      <c r="A79" s="1"/>
      <c r="B79" s="175"/>
      <c r="C79" s="20"/>
      <c r="D79" s="20"/>
      <c r="E79" s="20"/>
      <c r="F79" s="20"/>
      <c r="G79" s="91" t="s">
        <v>280</v>
      </c>
      <c r="H79" s="20"/>
      <c r="I79" s="20"/>
      <c r="J79" s="20"/>
      <c r="K79" s="20"/>
      <c r="L79" s="20"/>
      <c r="M79" s="20"/>
      <c r="N79" s="20"/>
      <c r="O79" s="176"/>
      <c r="P79" s="1"/>
    </row>
    <row r="80" spans="1:16" ht="14.25" customHeight="1">
      <c r="A80" s="1"/>
      <c r="B80" s="175"/>
      <c r="C80" s="20"/>
      <c r="D80" s="20"/>
      <c r="E80" s="20"/>
      <c r="F80" s="20"/>
      <c r="G80" s="186"/>
      <c r="H80" s="186"/>
      <c r="I80" s="186"/>
      <c r="J80" s="186"/>
      <c r="K80" s="186"/>
      <c r="L80" s="186"/>
      <c r="M80" s="20"/>
      <c r="N80" s="20"/>
      <c r="O80" s="176"/>
      <c r="P80" s="1"/>
    </row>
    <row r="81" spans="1:16" ht="14.25" customHeight="1">
      <c r="A81" s="1"/>
      <c r="B81" s="175"/>
      <c r="C81" s="20"/>
      <c r="D81" s="20"/>
      <c r="E81" s="20"/>
      <c r="F81" s="20"/>
      <c r="G81" s="90" t="s">
        <v>96</v>
      </c>
      <c r="H81" s="20"/>
      <c r="I81" s="20"/>
      <c r="J81" s="20"/>
      <c r="K81" s="20"/>
      <c r="L81" s="20"/>
      <c r="M81" s="20"/>
      <c r="N81" s="20"/>
      <c r="O81" s="176"/>
      <c r="P81" s="1"/>
    </row>
    <row r="82" spans="1:16" ht="14.25" customHeight="1">
      <c r="A82" s="1"/>
      <c r="B82" s="175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76"/>
      <c r="P82" s="1"/>
    </row>
    <row r="83" spans="1:16" ht="14.25" customHeight="1">
      <c r="A83" s="1"/>
      <c r="B83" s="175"/>
      <c r="C83" s="20"/>
      <c r="D83" s="20"/>
      <c r="E83" s="20"/>
      <c r="F83" s="20"/>
      <c r="G83" s="46" t="s">
        <v>78</v>
      </c>
      <c r="H83" s="47"/>
      <c r="I83" s="46"/>
      <c r="J83" s="46"/>
      <c r="K83" s="48"/>
      <c r="L83" s="48"/>
      <c r="M83" s="47"/>
      <c r="N83" s="46"/>
      <c r="O83" s="177"/>
      <c r="P83" s="1"/>
    </row>
    <row r="84" spans="1:16" ht="14.25" customHeight="1">
      <c r="A84" s="1"/>
      <c r="B84" s="175"/>
      <c r="C84" s="20"/>
      <c r="D84" s="20"/>
      <c r="E84" s="113"/>
      <c r="F84" s="92"/>
      <c r="G84" s="92"/>
      <c r="H84" s="93"/>
      <c r="I84" s="92"/>
      <c r="J84" s="92"/>
      <c r="K84" s="161"/>
      <c r="L84" s="161"/>
      <c r="M84" s="93"/>
      <c r="N84" s="92"/>
      <c r="O84" s="178"/>
      <c r="P84" s="113"/>
    </row>
    <row r="85" spans="1:16" ht="14.25" customHeight="1">
      <c r="A85" s="1"/>
      <c r="B85" s="175"/>
      <c r="C85" s="20"/>
      <c r="D85" s="20"/>
      <c r="E85" s="113"/>
      <c r="F85" s="25"/>
      <c r="G85" s="31" t="s">
        <v>79</v>
      </c>
      <c r="H85" s="203" t="str">
        <f>IF(H9="","",H9)</f>
        <v>Ort, Straße</v>
      </c>
      <c r="I85" s="203"/>
      <c r="J85" s="203"/>
      <c r="K85" s="203"/>
      <c r="L85" s="31" t="s">
        <v>80</v>
      </c>
      <c r="M85" s="203" t="str">
        <f>IF(M9="","",M9)</f>
        <v>Typ 222</v>
      </c>
      <c r="N85" s="203"/>
      <c r="O85" s="179"/>
      <c r="P85" s="113"/>
    </row>
    <row r="86" spans="1:16" ht="14.25" customHeight="1">
      <c r="A86" s="1"/>
      <c r="B86" s="175"/>
      <c r="C86" s="20"/>
      <c r="D86" s="20"/>
      <c r="E86" s="113"/>
      <c r="F86" s="25"/>
      <c r="G86" s="196"/>
      <c r="H86" s="32"/>
      <c r="I86" s="25"/>
      <c r="J86" s="197"/>
      <c r="K86" s="25"/>
      <c r="L86" s="196"/>
      <c r="M86" s="197"/>
      <c r="N86" s="197"/>
      <c r="O86" s="198"/>
      <c r="P86" s="113"/>
    </row>
    <row r="87" spans="1:16" ht="14.25" customHeight="1">
      <c r="A87" s="1"/>
      <c r="B87" s="175"/>
      <c r="C87" s="20"/>
      <c r="D87" s="20"/>
      <c r="E87" s="112"/>
      <c r="F87" s="25"/>
      <c r="G87" s="96" t="s">
        <v>82</v>
      </c>
      <c r="H87" s="204">
        <f>IF(H12="","",H12)</f>
        <v>42549</v>
      </c>
      <c r="I87" s="204"/>
      <c r="J87" s="204"/>
      <c r="K87" s="204"/>
      <c r="L87" s="31" t="s">
        <v>81</v>
      </c>
      <c r="M87" s="203" t="str">
        <f>IF(M12="","",M12)</f>
        <v>Name</v>
      </c>
      <c r="N87" s="203"/>
      <c r="O87" s="178"/>
      <c r="P87" s="112"/>
    </row>
    <row r="88" spans="1:16" ht="14.25" customHeight="1">
      <c r="A88" s="1"/>
      <c r="B88" s="175"/>
      <c r="C88" s="20"/>
      <c r="D88" s="20"/>
      <c r="E88" s="20"/>
      <c r="F88" s="25"/>
      <c r="G88" s="25"/>
      <c r="H88" s="25"/>
      <c r="I88" s="25"/>
      <c r="J88" s="25"/>
      <c r="K88" s="25"/>
      <c r="L88" s="25"/>
      <c r="M88" s="97"/>
      <c r="N88" s="25"/>
      <c r="O88" s="178"/>
      <c r="P88" s="1"/>
    </row>
    <row r="89" spans="1:16" ht="14.25" customHeight="1">
      <c r="A89" s="1"/>
      <c r="B89" s="175"/>
      <c r="C89" s="20"/>
      <c r="D89" s="20"/>
      <c r="E89" s="20"/>
      <c r="F89" s="25"/>
      <c r="G89" s="25"/>
      <c r="H89" s="25"/>
      <c r="I89" s="25"/>
      <c r="J89" s="25"/>
      <c r="K89" s="25"/>
      <c r="L89" s="20"/>
      <c r="M89" s="20"/>
      <c r="N89" s="20"/>
      <c r="O89" s="176"/>
      <c r="P89" s="1"/>
    </row>
    <row r="90" spans="1:16" ht="14.25" customHeight="1">
      <c r="A90" s="1"/>
      <c r="B90" s="175"/>
      <c r="C90" s="114" t="s">
        <v>97</v>
      </c>
      <c r="D90" s="114"/>
      <c r="E90" s="114"/>
      <c r="F90" s="114"/>
      <c r="G90" s="114"/>
      <c r="H90" s="114"/>
      <c r="I90" s="114"/>
      <c r="J90" s="115">
        <v>2</v>
      </c>
      <c r="K90" s="25" t="s">
        <v>244</v>
      </c>
      <c r="L90" s="66"/>
      <c r="M90" s="66"/>
      <c r="N90" s="66"/>
      <c r="O90" s="176"/>
      <c r="P90" s="1"/>
    </row>
    <row r="91" spans="1:16" ht="14.25" customHeight="1">
      <c r="A91" s="1"/>
      <c r="B91" s="175"/>
      <c r="C91" s="114"/>
      <c r="D91" s="119"/>
      <c r="E91" s="114"/>
      <c r="F91" s="114"/>
      <c r="G91" s="120"/>
      <c r="H91" s="120"/>
      <c r="I91" s="120"/>
      <c r="J91" s="120"/>
      <c r="K91" s="114"/>
      <c r="L91" s="66"/>
      <c r="M91" s="117"/>
      <c r="N91" s="117"/>
      <c r="O91" s="176"/>
      <c r="P91" s="1"/>
    </row>
    <row r="92" spans="1:16" ht="14.25" customHeight="1">
      <c r="A92" s="1"/>
      <c r="B92" s="175"/>
      <c r="C92" s="101" t="s">
        <v>98</v>
      </c>
      <c r="D92" s="39"/>
      <c r="E92" s="39"/>
      <c r="F92" s="66"/>
      <c r="G92" s="108" t="s">
        <v>120</v>
      </c>
      <c r="H92" s="24"/>
      <c r="I92" s="24"/>
      <c r="J92" s="24"/>
      <c r="K92" s="20"/>
      <c r="L92" s="57" t="s">
        <v>52</v>
      </c>
      <c r="M92" s="118" t="s">
        <v>38</v>
      </c>
      <c r="N92" s="70"/>
      <c r="O92" s="176"/>
      <c r="P92" s="1"/>
    </row>
    <row r="93" spans="1:16" ht="14.25" customHeight="1">
      <c r="A93" s="1"/>
      <c r="B93" s="175"/>
      <c r="C93" s="70" t="s">
        <v>126</v>
      </c>
      <c r="D93" s="67">
        <f>(1.35*M122+1.5*J90)*D18/100*D16^2/8</f>
        <v>3.544579934123023</v>
      </c>
      <c r="E93" s="70" t="s">
        <v>34</v>
      </c>
      <c r="F93" s="66"/>
      <c r="G93" s="116" t="s">
        <v>99</v>
      </c>
      <c r="H93" s="68"/>
      <c r="I93" s="69">
        <f>D93*1000000*6/(D17*10*(D18*10)^2)</f>
        <v>3.3230436882403342</v>
      </c>
      <c r="J93" s="70" t="s">
        <v>135</v>
      </c>
      <c r="K93" s="20"/>
      <c r="L93" s="70" t="s">
        <v>100</v>
      </c>
      <c r="M93" s="168" t="str">
        <f>IF(D12="nein","Standardfall",MAX(I93,I98)/M146)</f>
        <v>Standardfall</v>
      </c>
      <c r="N93" s="39" t="str">
        <f>IF(M93&lt;=1,"O.K.","Achtung")</f>
        <v>Achtung</v>
      </c>
      <c r="O93" s="176"/>
      <c r="P93" s="1"/>
    </row>
    <row r="94" spans="1:16" ht="14.25" customHeight="1">
      <c r="A94" s="1"/>
      <c r="B94" s="175"/>
      <c r="C94" s="70" t="s">
        <v>127</v>
      </c>
      <c r="D94" s="67">
        <f>D93*4/D16</f>
        <v>2.8356639472984186</v>
      </c>
      <c r="E94" s="70" t="s">
        <v>15</v>
      </c>
      <c r="F94" s="66"/>
      <c r="G94" s="70" t="s">
        <v>101</v>
      </c>
      <c r="H94" s="70"/>
      <c r="I94" s="67">
        <f>3/2*D94*1000/M134</f>
        <v>0.10577576581875449</v>
      </c>
      <c r="J94" s="70" t="s">
        <v>135</v>
      </c>
      <c r="K94" s="20"/>
      <c r="L94" s="70" t="s">
        <v>102</v>
      </c>
      <c r="M94" s="168" t="str">
        <f>IF(D12="nein","Standardfall",MAX(I94,I99)/M147)</f>
        <v>Standardfall</v>
      </c>
      <c r="N94" s="39" t="str">
        <f>IF(M94&lt;=1,"O.K.","Achtung")</f>
        <v>Achtung</v>
      </c>
      <c r="O94" s="176"/>
      <c r="P94" s="1"/>
    </row>
    <row r="95" spans="1:16" ht="14.25" customHeight="1">
      <c r="A95" s="1"/>
      <c r="B95" s="175"/>
      <c r="C95" s="70"/>
      <c r="D95" s="67"/>
      <c r="E95" s="70"/>
      <c r="F95" s="66"/>
      <c r="G95" s="70"/>
      <c r="H95" s="70"/>
      <c r="I95" s="70"/>
      <c r="J95" s="70"/>
      <c r="K95" s="20"/>
      <c r="L95" s="70" t="s">
        <v>103</v>
      </c>
      <c r="M95" s="168" t="str">
        <f>IF(D12="nein","Standardfall",I102/M145)</f>
        <v>Standardfall</v>
      </c>
      <c r="N95" s="39" t="str">
        <f>IF(M95&lt;=1,"O.K.","Achtung")</f>
        <v>Achtung</v>
      </c>
      <c r="O95" s="176"/>
      <c r="P95" s="1"/>
    </row>
    <row r="96" spans="1:16" ht="14.25" customHeight="1">
      <c r="A96" s="1"/>
      <c r="B96" s="175"/>
      <c r="C96" s="101" t="s">
        <v>122</v>
      </c>
      <c r="D96" s="39"/>
      <c r="E96" s="39"/>
      <c r="F96" s="66"/>
      <c r="G96" s="57" t="s">
        <v>104</v>
      </c>
      <c r="H96" s="70"/>
      <c r="I96" s="70"/>
      <c r="J96" s="70"/>
      <c r="K96" s="20"/>
      <c r="L96" s="70" t="s">
        <v>268</v>
      </c>
      <c r="M96" s="168" t="str">
        <f>IF(D12="nein","Standardfall",D103/D144)</f>
        <v>Standardfall</v>
      </c>
      <c r="N96" s="39" t="str">
        <f>IF(M96&lt;=1,"O.K.","Achtung")</f>
        <v>Achtung</v>
      </c>
      <c r="O96" s="176"/>
      <c r="P96" s="1"/>
    </row>
    <row r="97" spans="1:16" ht="14.25" customHeight="1">
      <c r="A97" s="1"/>
      <c r="B97" s="175"/>
      <c r="C97" s="70" t="s">
        <v>126</v>
      </c>
      <c r="D97" s="67">
        <f>(M122*D18/100*D16^2/8)*1.35</f>
        <v>1.6695799341230229</v>
      </c>
      <c r="E97" s="70" t="s">
        <v>34</v>
      </c>
      <c r="F97" s="66"/>
      <c r="G97" s="219" t="s">
        <v>56</v>
      </c>
      <c r="H97" s="219"/>
      <c r="I97" s="219"/>
      <c r="J97" s="219"/>
      <c r="K97" s="20"/>
      <c r="L97" s="57"/>
      <c r="M97" s="70"/>
      <c r="N97" s="70"/>
      <c r="O97" s="176"/>
      <c r="P97" s="1"/>
    </row>
    <row r="98" spans="1:16" ht="14.25" customHeight="1">
      <c r="A98" s="1"/>
      <c r="B98" s="175"/>
      <c r="C98" s="70" t="s">
        <v>127</v>
      </c>
      <c r="D98" s="67">
        <f>D97*4/D16</f>
        <v>1.3356639472984182</v>
      </c>
      <c r="E98" s="70" t="s">
        <v>15</v>
      </c>
      <c r="F98" s="20"/>
      <c r="G98" s="72" t="s">
        <v>31</v>
      </c>
      <c r="H98" s="72"/>
      <c r="I98" s="67">
        <f>D101*1000000/H150*(H148+D18*10/2)+D97*1000000/M138*D18*10/2</f>
        <v>5.397162144276222</v>
      </c>
      <c r="J98" s="70" t="s">
        <v>135</v>
      </c>
      <c r="K98" s="20"/>
      <c r="L98" s="26" t="s">
        <v>106</v>
      </c>
      <c r="M98" s="25"/>
      <c r="N98" s="25"/>
      <c r="O98" s="176"/>
      <c r="P98" s="1"/>
    </row>
    <row r="99" spans="1:16" ht="14.25" customHeight="1">
      <c r="A99" s="1"/>
      <c r="B99" s="175"/>
      <c r="C99" s="70"/>
      <c r="D99" s="70"/>
      <c r="E99" s="70"/>
      <c r="F99" s="20"/>
      <c r="G99" s="207" t="s">
        <v>12</v>
      </c>
      <c r="H99" s="207"/>
      <c r="I99" s="67">
        <f>I35</f>
        <v>0.168722789209592</v>
      </c>
      <c r="J99" s="70" t="s">
        <v>135</v>
      </c>
      <c r="K99" s="20"/>
      <c r="L99" s="25" t="s">
        <v>107</v>
      </c>
      <c r="M99" s="34">
        <f>5/384*M122*D18/100*D16^4/(D123*1000000*M138/1000000000000)*1000</f>
        <v>4.061410831446704</v>
      </c>
      <c r="N99" s="25" t="s">
        <v>25</v>
      </c>
      <c r="O99" s="176"/>
      <c r="P99" s="1"/>
    </row>
    <row r="100" spans="1:16" ht="14.25" customHeight="1">
      <c r="A100" s="1"/>
      <c r="B100" s="175"/>
      <c r="C100" s="101" t="s">
        <v>105</v>
      </c>
      <c r="D100" s="39"/>
      <c r="E100" s="39"/>
      <c r="F100" s="20"/>
      <c r="G100" s="70"/>
      <c r="H100" s="70"/>
      <c r="I100" s="70"/>
      <c r="J100" s="70"/>
      <c r="K100" s="20"/>
      <c r="L100" s="25" t="s">
        <v>108</v>
      </c>
      <c r="M100" s="34">
        <f>5/384*((M123-M122)/(I150/1000000000000)+M122*(1000000000000/I150-1000000000000/I133))*D16^4*D18/100/(D140*1000000)*1000</f>
        <v>4.926682730434977</v>
      </c>
      <c r="N100" s="31" t="s">
        <v>25</v>
      </c>
      <c r="O100" s="176"/>
      <c r="P100" s="1"/>
    </row>
    <row r="101" spans="1:16" ht="14.25" customHeight="1">
      <c r="A101" s="1"/>
      <c r="B101" s="175"/>
      <c r="C101" s="70" t="s">
        <v>126</v>
      </c>
      <c r="D101" s="67">
        <f>(1.35*D25+1.5*D26)*D18/100*D16^2/8</f>
        <v>3.9843749999999996</v>
      </c>
      <c r="E101" s="70" t="s">
        <v>34</v>
      </c>
      <c r="F101" s="20"/>
      <c r="G101" s="71" t="s">
        <v>121</v>
      </c>
      <c r="H101" s="71"/>
      <c r="I101" s="71"/>
      <c r="J101" s="71"/>
      <c r="K101" s="20"/>
      <c r="L101" s="25" t="s">
        <v>109</v>
      </c>
      <c r="M101" s="34">
        <f>5/384*M124/(I133/1000000000000)*D16^4*D18/100/(D123*1000000)*1000</f>
        <v>1.049347566868775</v>
      </c>
      <c r="N101" s="25" t="s">
        <v>25</v>
      </c>
      <c r="O101" s="176"/>
      <c r="P101" s="1"/>
    </row>
    <row r="102" spans="1:16" ht="14.25" customHeight="1">
      <c r="A102" s="1"/>
      <c r="B102" s="175"/>
      <c r="C102" s="70" t="s">
        <v>127</v>
      </c>
      <c r="D102" s="67">
        <f>D101*4/D16</f>
        <v>3.1874999999999996</v>
      </c>
      <c r="E102" s="70" t="s">
        <v>15</v>
      </c>
      <c r="F102" s="20"/>
      <c r="G102" s="72" t="s">
        <v>28</v>
      </c>
      <c r="H102" s="72"/>
      <c r="I102" s="67">
        <f>-D101*1000000/H133*D124*(H128*H132+D19*10/2)</f>
        <v>-3.364150467046803</v>
      </c>
      <c r="J102" s="70" t="s">
        <v>135</v>
      </c>
      <c r="K102" s="20"/>
      <c r="L102" s="25" t="s">
        <v>110</v>
      </c>
      <c r="M102" s="34">
        <f>SUM(M99:M101)</f>
        <v>10.037441128750455</v>
      </c>
      <c r="N102" s="25" t="s">
        <v>25</v>
      </c>
      <c r="O102" s="176"/>
      <c r="P102" s="1"/>
    </row>
    <row r="103" spans="1:16" ht="14.25" customHeight="1">
      <c r="A103" s="1"/>
      <c r="B103" s="175"/>
      <c r="C103" s="70" t="s">
        <v>32</v>
      </c>
      <c r="D103" s="67">
        <f>D102/H150*H145*D141*H149*M137*D35</f>
        <v>3.3173037108550885</v>
      </c>
      <c r="E103" s="70" t="s">
        <v>15</v>
      </c>
      <c r="F103" s="20"/>
      <c r="G103" s="215"/>
      <c r="H103" s="215"/>
      <c r="I103" s="42"/>
      <c r="J103" s="20"/>
      <c r="K103" s="20"/>
      <c r="L103" s="70" t="s">
        <v>40</v>
      </c>
      <c r="M103" s="73" t="s">
        <v>267</v>
      </c>
      <c r="N103" s="70"/>
      <c r="O103" s="176"/>
      <c r="P103" s="1"/>
    </row>
    <row r="104" spans="1:16" ht="14.25" customHeight="1">
      <c r="A104" s="1"/>
      <c r="B104" s="175"/>
      <c r="C104" s="20"/>
      <c r="D104" s="20"/>
      <c r="E104" s="20"/>
      <c r="F104" s="20"/>
      <c r="G104" s="20"/>
      <c r="H104" s="20"/>
      <c r="I104" s="20"/>
      <c r="J104" s="20"/>
      <c r="K104" s="20"/>
      <c r="L104" s="70" t="s">
        <v>42</v>
      </c>
      <c r="M104" s="168" t="str">
        <f>IF(D12="nein","Standardfall",IF(M103="l/200",M102/(D16*1000/200),IF(M103="l/250",M102/(D16*1000/250),IF(M103="l/300",M102/(D16*1000/300),IF(M103="l/350",M102/(D16*1000/350),0)))))</f>
        <v>Standardfall</v>
      </c>
      <c r="N104" s="39" t="str">
        <f>IF(M104&lt;=1,"O.K.","Achtung")</f>
        <v>Achtung</v>
      </c>
      <c r="O104" s="176"/>
      <c r="P104" s="1"/>
    </row>
    <row r="105" spans="1:16" ht="14.25" customHeight="1">
      <c r="A105" s="1"/>
      <c r="B105" s="187"/>
      <c r="C105" s="20"/>
      <c r="D105" s="20"/>
      <c r="E105" s="20"/>
      <c r="F105" s="66"/>
      <c r="G105" s="66"/>
      <c r="H105" s="66"/>
      <c r="I105" s="66"/>
      <c r="J105" s="66"/>
      <c r="K105" s="66"/>
      <c r="L105" s="66"/>
      <c r="M105" s="66"/>
      <c r="N105" s="66"/>
      <c r="O105" s="188"/>
      <c r="P105" s="1"/>
    </row>
    <row r="106" spans="1:16" ht="14.25" customHeight="1">
      <c r="A106" s="1"/>
      <c r="B106" s="187"/>
      <c r="C106" s="66"/>
      <c r="D106" s="66"/>
      <c r="E106" s="66"/>
      <c r="F106" s="66"/>
      <c r="G106" s="66"/>
      <c r="H106" s="66"/>
      <c r="I106" s="66"/>
      <c r="J106" s="66"/>
      <c r="K106" s="66"/>
      <c r="L106" s="74"/>
      <c r="M106" s="53"/>
      <c r="N106" s="66"/>
      <c r="O106" s="188"/>
      <c r="P106" s="1"/>
    </row>
    <row r="107" spans="1:16" ht="14.25" customHeight="1">
      <c r="A107" s="1"/>
      <c r="B107" s="187"/>
      <c r="C107" s="75" t="s">
        <v>111</v>
      </c>
      <c r="D107" s="75"/>
      <c r="E107" s="76"/>
      <c r="F107" s="76"/>
      <c r="G107" s="77"/>
      <c r="H107" s="77"/>
      <c r="I107" s="75"/>
      <c r="J107" s="76"/>
      <c r="K107" s="76"/>
      <c r="L107" s="76"/>
      <c r="M107" s="78"/>
      <c r="N107" s="44"/>
      <c r="O107" s="188"/>
      <c r="P107" s="1"/>
    </row>
    <row r="108" spans="1:16" ht="14.25" customHeight="1">
      <c r="A108" s="1"/>
      <c r="B108" s="187"/>
      <c r="C108" s="79" t="s">
        <v>112</v>
      </c>
      <c r="D108" s="76" t="s">
        <v>113</v>
      </c>
      <c r="E108" s="76"/>
      <c r="F108" s="76"/>
      <c r="G108" s="77"/>
      <c r="H108" s="77"/>
      <c r="I108" s="75"/>
      <c r="J108" s="76"/>
      <c r="K108" s="76"/>
      <c r="L108" s="76"/>
      <c r="M108" s="78"/>
      <c r="N108" s="44"/>
      <c r="O108" s="188"/>
      <c r="P108" s="1"/>
    </row>
    <row r="109" spans="1:16" ht="14.25" customHeight="1">
      <c r="A109" s="1"/>
      <c r="B109" s="187"/>
      <c r="C109" s="79" t="s">
        <v>114</v>
      </c>
      <c r="D109" s="76" t="s">
        <v>115</v>
      </c>
      <c r="E109" s="80"/>
      <c r="F109" s="80"/>
      <c r="G109" s="81"/>
      <c r="H109" s="81"/>
      <c r="I109" s="80"/>
      <c r="J109" s="80"/>
      <c r="K109" s="80"/>
      <c r="L109" s="76"/>
      <c r="M109" s="78"/>
      <c r="N109" s="44"/>
      <c r="O109" s="188"/>
      <c r="P109" s="1"/>
    </row>
    <row r="110" spans="1:16" ht="14.25" customHeight="1">
      <c r="A110" s="1"/>
      <c r="B110" s="187"/>
      <c r="C110" s="79" t="s">
        <v>116</v>
      </c>
      <c r="D110" s="76" t="s">
        <v>117</v>
      </c>
      <c r="E110" s="76"/>
      <c r="F110" s="76"/>
      <c r="G110" s="77"/>
      <c r="H110" s="77"/>
      <c r="I110" s="75"/>
      <c r="J110" s="76"/>
      <c r="K110" s="76"/>
      <c r="L110" s="76"/>
      <c r="M110" s="76"/>
      <c r="N110" s="66"/>
      <c r="O110" s="188"/>
      <c r="P110" s="1"/>
    </row>
    <row r="111" spans="1:16" ht="14.25" customHeight="1">
      <c r="A111" s="1"/>
      <c r="B111" s="187"/>
      <c r="C111" s="79" t="s">
        <v>118</v>
      </c>
      <c r="D111" s="76" t="s">
        <v>119</v>
      </c>
      <c r="E111" s="77"/>
      <c r="F111" s="77"/>
      <c r="G111" s="77"/>
      <c r="H111" s="77"/>
      <c r="I111" s="77"/>
      <c r="J111" s="77"/>
      <c r="K111" s="77"/>
      <c r="L111" s="76"/>
      <c r="M111" s="76"/>
      <c r="N111" s="66"/>
      <c r="O111" s="188"/>
      <c r="P111" s="1"/>
    </row>
    <row r="112" spans="1:16" ht="14.25" customHeight="1">
      <c r="A112" s="11"/>
      <c r="B112" s="189"/>
      <c r="C112" s="82"/>
      <c r="D112" s="83"/>
      <c r="E112" s="82"/>
      <c r="F112" s="82"/>
      <c r="G112" s="82"/>
      <c r="H112" s="84"/>
      <c r="I112" s="82"/>
      <c r="J112" s="82"/>
      <c r="K112" s="82"/>
      <c r="L112" s="85"/>
      <c r="M112" s="85"/>
      <c r="N112" s="85"/>
      <c r="O112" s="190"/>
      <c r="P112" s="11"/>
    </row>
    <row r="113" spans="1:16" ht="14.25" customHeight="1">
      <c r="A113" s="5"/>
      <c r="B113" s="183"/>
      <c r="C113" s="184"/>
      <c r="D113" s="184"/>
      <c r="E113" s="191"/>
      <c r="F113" s="191"/>
      <c r="G113" s="191"/>
      <c r="H113" s="192"/>
      <c r="I113" s="193"/>
      <c r="J113" s="193"/>
      <c r="K113" s="193"/>
      <c r="L113" s="194"/>
      <c r="M113" s="194"/>
      <c r="N113" s="194"/>
      <c r="O113" s="195"/>
      <c r="P113" s="5"/>
    </row>
    <row r="114" spans="1:16" ht="14.25" customHeight="1">
      <c r="A114" s="100"/>
      <c r="B114" s="148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48"/>
      <c r="P114" s="100"/>
    </row>
    <row r="115" spans="1:16" ht="14.25" customHeight="1">
      <c r="A115" s="100"/>
      <c r="B115" s="148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48"/>
      <c r="P115" s="100"/>
    </row>
    <row r="116" spans="1:16" ht="14.25" customHeight="1">
      <c r="A116" s="100"/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3"/>
      <c r="P116" s="100"/>
    </row>
    <row r="117" spans="1:16" ht="14.25" customHeight="1">
      <c r="A117" s="100"/>
      <c r="B117" s="124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95"/>
      <c r="P117" s="100"/>
    </row>
    <row r="118" spans="1:16" ht="14.25" customHeight="1">
      <c r="A118" s="100"/>
      <c r="B118" s="124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95"/>
      <c r="P118" s="100"/>
    </row>
    <row r="119" spans="1:16" ht="14.25" customHeight="1">
      <c r="A119" s="100"/>
      <c r="B119" s="124"/>
      <c r="C119" s="205" t="s">
        <v>58</v>
      </c>
      <c r="D119" s="205"/>
      <c r="E119" s="205"/>
      <c r="F119" s="205"/>
      <c r="G119" s="205"/>
      <c r="H119" s="205"/>
      <c r="I119" s="205"/>
      <c r="J119" s="205"/>
      <c r="K119" s="49"/>
      <c r="L119" s="206" t="s">
        <v>74</v>
      </c>
      <c r="M119" s="206"/>
      <c r="N119" s="206"/>
      <c r="O119" s="95"/>
      <c r="P119" s="100"/>
    </row>
    <row r="120" spans="1:16" ht="14.25" customHeight="1">
      <c r="A120" s="100"/>
      <c r="B120" s="124"/>
      <c r="C120" s="49"/>
      <c r="D120" s="49"/>
      <c r="E120" s="49"/>
      <c r="F120" s="130"/>
      <c r="G120" s="49"/>
      <c r="H120" s="49"/>
      <c r="I120" s="49"/>
      <c r="J120" s="49"/>
      <c r="K120" s="49"/>
      <c r="L120" s="49"/>
      <c r="M120" s="49"/>
      <c r="N120" s="49"/>
      <c r="O120" s="127"/>
      <c r="P120" s="100"/>
    </row>
    <row r="121" spans="1:16" ht="14.25" customHeight="1">
      <c r="A121" s="100"/>
      <c r="B121" s="140"/>
      <c r="C121" s="132" t="s">
        <v>9</v>
      </c>
      <c r="D121" s="92"/>
      <c r="E121" s="92"/>
      <c r="F121" s="92"/>
      <c r="G121" s="92"/>
      <c r="H121" s="128" t="s">
        <v>60</v>
      </c>
      <c r="I121" s="202" t="s">
        <v>61</v>
      </c>
      <c r="J121" s="202"/>
      <c r="K121" s="128"/>
      <c r="L121" s="129" t="s">
        <v>37</v>
      </c>
      <c r="M121" s="129"/>
      <c r="N121" s="129"/>
      <c r="O121" s="95"/>
      <c r="P121" s="100"/>
    </row>
    <row r="122" spans="1:16" ht="14.25" customHeight="1">
      <c r="A122" s="100"/>
      <c r="B122" s="124"/>
      <c r="C122" s="25" t="s">
        <v>10</v>
      </c>
      <c r="D122" s="87">
        <f>IF(D31="C20/25",29,IF(D31="C25/30",30.5,IF(D31="C30/37",32)))</f>
        <v>29</v>
      </c>
      <c r="E122" s="25" t="s">
        <v>221</v>
      </c>
      <c r="F122" s="92"/>
      <c r="G122" s="25"/>
      <c r="H122" s="86" t="s">
        <v>67</v>
      </c>
      <c r="I122" s="210" t="s">
        <v>62</v>
      </c>
      <c r="J122" s="210"/>
      <c r="K122" s="92"/>
      <c r="L122" s="25" t="s">
        <v>21</v>
      </c>
      <c r="M122" s="32">
        <f>(M135*10^-6*M143+(M134*10^-6)*5)/(D18/100)</f>
        <v>1.9787614034050642</v>
      </c>
      <c r="N122" s="25" t="s">
        <v>244</v>
      </c>
      <c r="O122" s="95"/>
      <c r="P122" s="100"/>
    </row>
    <row r="123" spans="1:16" ht="14.25" customHeight="1">
      <c r="A123" s="100"/>
      <c r="B123" s="124"/>
      <c r="C123" s="25" t="s">
        <v>11</v>
      </c>
      <c r="D123" s="87">
        <f>IF(D30="C24",11,IF(D30="C30",12,IF(D30="GL24h",11.6,IF(D30="GL28h",12.6,))))</f>
        <v>11</v>
      </c>
      <c r="E123" s="25" t="s">
        <v>221</v>
      </c>
      <c r="F123" s="92"/>
      <c r="G123" s="26" t="s">
        <v>257</v>
      </c>
      <c r="H123" s="25"/>
      <c r="I123" s="88"/>
      <c r="J123" s="25"/>
      <c r="K123" s="92"/>
      <c r="L123" s="25" t="s">
        <v>35</v>
      </c>
      <c r="M123" s="32">
        <f>M122+D25+D26*D27/100</f>
        <v>5.138761403405065</v>
      </c>
      <c r="N123" s="25" t="s">
        <v>244</v>
      </c>
      <c r="O123" s="95"/>
      <c r="P123" s="100"/>
    </row>
    <row r="124" spans="1:16" ht="14.25" customHeight="1">
      <c r="A124" s="100"/>
      <c r="B124" s="124"/>
      <c r="C124" s="25" t="s">
        <v>48</v>
      </c>
      <c r="D124" s="34">
        <f>D122/D123</f>
        <v>2.6363636363636362</v>
      </c>
      <c r="E124" s="25"/>
      <c r="F124" s="92"/>
      <c r="G124" s="25" t="s">
        <v>256</v>
      </c>
      <c r="H124" s="32">
        <f>2/3*I124</f>
        <v>8.493333333333332</v>
      </c>
      <c r="I124" s="32">
        <f>(98)*0.13</f>
        <v>12.74</v>
      </c>
      <c r="J124" s="25" t="s">
        <v>16</v>
      </c>
      <c r="K124" s="92"/>
      <c r="L124" s="25" t="s">
        <v>36</v>
      </c>
      <c r="M124" s="32">
        <f>D26*(1-D27/100)</f>
        <v>1.3399999999999999</v>
      </c>
      <c r="N124" s="25" t="s">
        <v>244</v>
      </c>
      <c r="O124" s="95"/>
      <c r="P124" s="100"/>
    </row>
    <row r="125" spans="1:16" ht="14.25" customHeight="1">
      <c r="A125" s="100"/>
      <c r="B125" s="124"/>
      <c r="C125" s="25"/>
      <c r="D125" s="25"/>
      <c r="E125" s="25"/>
      <c r="F125" s="92"/>
      <c r="G125" s="25"/>
      <c r="H125" s="25"/>
      <c r="I125" s="25"/>
      <c r="J125" s="25"/>
      <c r="K125" s="92"/>
      <c r="L125" s="25"/>
      <c r="M125" s="25"/>
      <c r="N125" s="25"/>
      <c r="O125" s="95"/>
      <c r="P125" s="100"/>
    </row>
    <row r="126" spans="1:16" ht="14.25" customHeight="1">
      <c r="A126" s="100"/>
      <c r="B126" s="124"/>
      <c r="C126" s="26" t="s">
        <v>257</v>
      </c>
      <c r="D126" s="25"/>
      <c r="E126" s="25"/>
      <c r="F126" s="92"/>
      <c r="G126" s="26" t="s">
        <v>22</v>
      </c>
      <c r="H126" s="32"/>
      <c r="I126" s="88"/>
      <c r="J126" s="25"/>
      <c r="K126" s="92"/>
      <c r="L126" s="92"/>
      <c r="M126" s="92"/>
      <c r="N126" s="92"/>
      <c r="O126" s="95"/>
      <c r="P126" s="100"/>
    </row>
    <row r="127" spans="1:16" ht="14.25" customHeight="1">
      <c r="A127" s="100"/>
      <c r="B127" s="124"/>
      <c r="C127" s="25" t="s">
        <v>131</v>
      </c>
      <c r="D127" s="32">
        <f>83*(98)*(M144*100/350)^0.8*0.8/1300</f>
        <v>5.005538461538462</v>
      </c>
      <c r="E127" s="25" t="s">
        <v>15</v>
      </c>
      <c r="F127" s="92"/>
      <c r="G127" s="25" t="s">
        <v>254</v>
      </c>
      <c r="H127" s="32">
        <f>PI()^2*D122*1000*M137*1.25*D35/((D16*1000)^2*H124*1000)</f>
        <v>8.626994867388627</v>
      </c>
      <c r="I127" s="32">
        <f>PI()^2*D122*1000*M137*1.25*D35/((D16*1000)^2*I124*1000)</f>
        <v>5.751329911592417</v>
      </c>
      <c r="J127" s="25"/>
      <c r="K127" s="92"/>
      <c r="L127" s="129" t="s">
        <v>27</v>
      </c>
      <c r="M127" s="129"/>
      <c r="N127" s="129"/>
      <c r="O127" s="95"/>
      <c r="P127" s="100"/>
    </row>
    <row r="128" spans="1:16" ht="14.25" customHeight="1">
      <c r="A128" s="100"/>
      <c r="B128" s="124"/>
      <c r="C128" s="25" t="s">
        <v>132</v>
      </c>
      <c r="D128" s="32">
        <f>M129/H133*H128*D124*M137*H132*D35</f>
        <v>4.619560087013844</v>
      </c>
      <c r="E128" s="25" t="s">
        <v>15</v>
      </c>
      <c r="F128" s="92"/>
      <c r="G128" s="25" t="s">
        <v>255</v>
      </c>
      <c r="H128" s="32">
        <f>1/(1+H127)</f>
        <v>0.10387457496082111</v>
      </c>
      <c r="I128" s="32">
        <f>1/(1+I127)</f>
        <v>0.1481189651660991</v>
      </c>
      <c r="J128" s="25"/>
      <c r="K128" s="92"/>
      <c r="L128" s="25" t="s">
        <v>126</v>
      </c>
      <c r="M128" s="32">
        <f>M129*D16/4</f>
        <v>5.653954934123023</v>
      </c>
      <c r="N128" s="25" t="s">
        <v>34</v>
      </c>
      <c r="O128" s="95"/>
      <c r="P128" s="100"/>
    </row>
    <row r="129" spans="1:16" ht="14.25" customHeight="1">
      <c r="A129" s="100"/>
      <c r="B129" s="124"/>
      <c r="C129" s="92"/>
      <c r="D129" s="92"/>
      <c r="E129" s="92"/>
      <c r="F129" s="92"/>
      <c r="G129" s="92"/>
      <c r="H129" s="138"/>
      <c r="I129" s="132"/>
      <c r="J129" s="92"/>
      <c r="K129" s="92"/>
      <c r="L129" s="25" t="s">
        <v>127</v>
      </c>
      <c r="M129" s="32">
        <f>(1.35*D25+1.5*D26+1.35*M122)*M136/100*(D16)/2</f>
        <v>4.523163947298419</v>
      </c>
      <c r="N129" s="25" t="s">
        <v>15</v>
      </c>
      <c r="O129" s="95"/>
      <c r="P129" s="100"/>
    </row>
    <row r="130" spans="1:16" ht="14.25" customHeight="1">
      <c r="A130" s="100"/>
      <c r="B130" s="124"/>
      <c r="C130" s="92"/>
      <c r="D130" s="201" t="s">
        <v>64</v>
      </c>
      <c r="E130" s="201"/>
      <c r="F130" s="201"/>
      <c r="G130" s="201"/>
      <c r="H130" s="88"/>
      <c r="I130" s="32"/>
      <c r="J130" s="25"/>
      <c r="K130" s="92"/>
      <c r="L130" s="25" t="s">
        <v>133</v>
      </c>
      <c r="M130" s="32">
        <f>MAX(D128,D145)</f>
        <v>4.707359544213018</v>
      </c>
      <c r="N130" s="25" t="s">
        <v>15</v>
      </c>
      <c r="O130" s="95"/>
      <c r="P130" s="100"/>
    </row>
    <row r="131" spans="1:16" ht="14.25" customHeight="1">
      <c r="A131" s="100"/>
      <c r="B131" s="124"/>
      <c r="C131" s="92"/>
      <c r="D131" s="200" t="s">
        <v>23</v>
      </c>
      <c r="E131" s="200"/>
      <c r="F131" s="200"/>
      <c r="G131" s="200"/>
      <c r="H131" s="32">
        <f>H128*D124*M137*(0.5756*D17*10+D19*10/2)/(D124*H128*M137+M134)</f>
        <v>12.979194771371851</v>
      </c>
      <c r="I131" s="32">
        <f>I128*D124*M137*(0.5756*D17*10+D19*10/2)/(D124*I128*M137+M134)</f>
        <v>17.764111814848086</v>
      </c>
      <c r="J131" s="25" t="s">
        <v>25</v>
      </c>
      <c r="K131" s="92"/>
      <c r="L131" s="25"/>
      <c r="M131" s="25"/>
      <c r="N131" s="25"/>
      <c r="O131" s="95"/>
      <c r="P131" s="100"/>
    </row>
    <row r="132" spans="1:16" ht="14.25" customHeight="1">
      <c r="A132" s="100"/>
      <c r="B132" s="125"/>
      <c r="C132" s="92"/>
      <c r="D132" s="200" t="s">
        <v>24</v>
      </c>
      <c r="E132" s="200"/>
      <c r="F132" s="200"/>
      <c r="G132" s="200"/>
      <c r="H132" s="32">
        <f>0.5756*D17*10+D19*10/2-H131</f>
        <v>119.11680522862815</v>
      </c>
      <c r="I132" s="32">
        <f>0.5756*D17*10+D19*10/2-I131</f>
        <v>114.33188818515191</v>
      </c>
      <c r="J132" s="25" t="s">
        <v>25</v>
      </c>
      <c r="K132" s="92"/>
      <c r="L132" s="92"/>
      <c r="M132" s="92"/>
      <c r="N132" s="92"/>
      <c r="O132" s="95"/>
      <c r="P132" s="100"/>
    </row>
    <row r="133" spans="1:16" ht="14.25" customHeight="1">
      <c r="A133" s="100"/>
      <c r="B133" s="124"/>
      <c r="C133" s="92"/>
      <c r="D133" s="200" t="s">
        <v>65</v>
      </c>
      <c r="E133" s="200"/>
      <c r="F133" s="200"/>
      <c r="G133" s="200"/>
      <c r="H133" s="89">
        <f>M138+M134*H131^2+D124*M139+D124*H128*M137*H132^2</f>
        <v>163530693.8752984</v>
      </c>
      <c r="I133" s="89">
        <f>M138+M134*I131^2+D124*M139+D124*I128*M137*I132^2</f>
        <v>188947672.40435693</v>
      </c>
      <c r="J133" s="25" t="s">
        <v>246</v>
      </c>
      <c r="K133" s="92"/>
      <c r="L133" s="108" t="s">
        <v>13</v>
      </c>
      <c r="M133" s="108"/>
      <c r="N133" s="108"/>
      <c r="O133" s="95"/>
      <c r="P133" s="100"/>
    </row>
    <row r="134" spans="1:16" ht="14.25" customHeight="1">
      <c r="A134" s="100"/>
      <c r="B134" s="124"/>
      <c r="C134" s="92"/>
      <c r="D134" s="92"/>
      <c r="E134" s="92"/>
      <c r="F134" s="92"/>
      <c r="G134" s="25"/>
      <c r="H134" s="25"/>
      <c r="I134" s="25"/>
      <c r="J134" s="25"/>
      <c r="K134" s="92"/>
      <c r="L134" s="25" t="s">
        <v>17</v>
      </c>
      <c r="M134" s="59">
        <f>(2*D17*10)^2*PI()/8</f>
        <v>40212.385965949354</v>
      </c>
      <c r="N134" s="25" t="s">
        <v>247</v>
      </c>
      <c r="O134" s="95"/>
      <c r="P134" s="100"/>
    </row>
    <row r="135" spans="1:16" ht="14.25" customHeight="1">
      <c r="A135" s="100"/>
      <c r="B135" s="124"/>
      <c r="C135" s="92"/>
      <c r="D135" s="92"/>
      <c r="E135" s="92"/>
      <c r="F135" s="92"/>
      <c r="G135" s="92"/>
      <c r="H135" s="92"/>
      <c r="I135" s="92"/>
      <c r="J135" s="92"/>
      <c r="K135" s="92"/>
      <c r="L135" s="25" t="s">
        <v>18</v>
      </c>
      <c r="M135" s="59">
        <f>D18*10*(D17*10+D19*10)-M134</f>
        <v>7787.614034050646</v>
      </c>
      <c r="N135" s="25" t="s">
        <v>247</v>
      </c>
      <c r="O135" s="95"/>
      <c r="P135" s="100"/>
    </row>
    <row r="136" spans="1:16" ht="14.25" customHeight="1">
      <c r="A136" s="100"/>
      <c r="B136" s="124"/>
      <c r="C136" s="212" t="s">
        <v>59</v>
      </c>
      <c r="D136" s="212"/>
      <c r="E136" s="212"/>
      <c r="F136" s="212"/>
      <c r="G136" s="212"/>
      <c r="H136" s="212"/>
      <c r="I136" s="212"/>
      <c r="J136" s="212"/>
      <c r="K136" s="92"/>
      <c r="L136" s="25" t="s">
        <v>77</v>
      </c>
      <c r="M136" s="34">
        <f>D18</f>
        <v>20</v>
      </c>
      <c r="N136" s="25" t="s">
        <v>2</v>
      </c>
      <c r="O136" s="95"/>
      <c r="P136" s="100"/>
    </row>
    <row r="137" spans="1:16" ht="14.25" customHeight="1">
      <c r="A137" s="100"/>
      <c r="B137" s="124"/>
      <c r="C137" s="130"/>
      <c r="D137" s="130"/>
      <c r="E137" s="130"/>
      <c r="F137" s="130"/>
      <c r="G137" s="130"/>
      <c r="H137" s="130"/>
      <c r="I137" s="130"/>
      <c r="J137" s="130"/>
      <c r="K137" s="92"/>
      <c r="L137" s="25" t="s">
        <v>76</v>
      </c>
      <c r="M137" s="26">
        <f>M136*10*D19*10</f>
        <v>16000</v>
      </c>
      <c r="N137" s="25" t="s">
        <v>63</v>
      </c>
      <c r="O137" s="95"/>
      <c r="P137" s="100"/>
    </row>
    <row r="138" spans="1:16" ht="14.25" customHeight="1">
      <c r="A138" s="100"/>
      <c r="B138" s="124"/>
      <c r="C138" s="132" t="s">
        <v>9</v>
      </c>
      <c r="D138" s="92"/>
      <c r="E138" s="92"/>
      <c r="F138" s="92"/>
      <c r="G138" s="92"/>
      <c r="H138" s="128" t="s">
        <v>60</v>
      </c>
      <c r="I138" s="202" t="s">
        <v>61</v>
      </c>
      <c r="J138" s="202"/>
      <c r="K138" s="92"/>
      <c r="L138" s="25" t="s">
        <v>19</v>
      </c>
      <c r="M138" s="89">
        <f>0.11*(D17*10)^4</f>
        <v>72089600</v>
      </c>
      <c r="N138" s="25" t="s">
        <v>246</v>
      </c>
      <c r="O138" s="95"/>
      <c r="P138" s="100"/>
    </row>
    <row r="139" spans="1:16" ht="14.25" customHeight="1">
      <c r="A139" s="100"/>
      <c r="B139" s="124"/>
      <c r="C139" s="92" t="s">
        <v>10</v>
      </c>
      <c r="D139" s="139">
        <f>D122/3.5</f>
        <v>8.285714285714286</v>
      </c>
      <c r="E139" s="92" t="s">
        <v>221</v>
      </c>
      <c r="F139" s="92"/>
      <c r="G139" s="92"/>
      <c r="H139" s="86" t="s">
        <v>67</v>
      </c>
      <c r="I139" s="210" t="s">
        <v>62</v>
      </c>
      <c r="J139" s="210"/>
      <c r="K139" s="130"/>
      <c r="L139" s="25" t="s">
        <v>20</v>
      </c>
      <c r="M139" s="89">
        <f>M136*D19^3*10000/12</f>
        <v>8533333.333333334</v>
      </c>
      <c r="N139" s="25" t="s">
        <v>246</v>
      </c>
      <c r="O139" s="95"/>
      <c r="P139" s="100"/>
    </row>
    <row r="140" spans="1:16" ht="14.25" customHeight="1">
      <c r="A140" s="100"/>
      <c r="B140" s="124"/>
      <c r="C140" s="25" t="s">
        <v>11</v>
      </c>
      <c r="D140" s="87">
        <f>D123/1.6</f>
        <v>6.875</v>
      </c>
      <c r="E140" s="25" t="s">
        <v>221</v>
      </c>
      <c r="F140" s="92"/>
      <c r="G140" s="26" t="s">
        <v>257</v>
      </c>
      <c r="H140" s="25"/>
      <c r="I140" s="88"/>
      <c r="J140" s="25"/>
      <c r="K140" s="92"/>
      <c r="L140" s="92"/>
      <c r="M140" s="92"/>
      <c r="N140" s="92"/>
      <c r="O140" s="95"/>
      <c r="P140" s="100"/>
    </row>
    <row r="141" spans="1:16" ht="14.25" customHeight="1">
      <c r="A141" s="100"/>
      <c r="B141" s="124"/>
      <c r="C141" s="25" t="s">
        <v>48</v>
      </c>
      <c r="D141" s="34">
        <f>D139/D140</f>
        <v>1.2051948051948054</v>
      </c>
      <c r="E141" s="25"/>
      <c r="F141" s="92"/>
      <c r="G141" s="25" t="s">
        <v>256</v>
      </c>
      <c r="H141" s="32">
        <f>H124/1.6</f>
        <v>5.308333333333333</v>
      </c>
      <c r="I141" s="32">
        <f>I124/1.6</f>
        <v>7.9624999999999995</v>
      </c>
      <c r="J141" s="25" t="s">
        <v>16</v>
      </c>
      <c r="K141" s="92"/>
      <c r="L141" s="132"/>
      <c r="M141" s="92"/>
      <c r="N141" s="92"/>
      <c r="O141" s="95"/>
      <c r="P141" s="100"/>
    </row>
    <row r="142" spans="1:16" ht="14.25" customHeight="1">
      <c r="A142" s="100"/>
      <c r="B142" s="124"/>
      <c r="C142" s="25"/>
      <c r="D142" s="34"/>
      <c r="E142" s="25"/>
      <c r="F142" s="92"/>
      <c r="G142" s="25"/>
      <c r="H142" s="25"/>
      <c r="I142" s="25"/>
      <c r="J142" s="25"/>
      <c r="K142" s="92"/>
      <c r="L142" s="108" t="s">
        <v>90</v>
      </c>
      <c r="M142" s="108"/>
      <c r="N142" s="108"/>
      <c r="O142" s="95"/>
      <c r="P142" s="100"/>
    </row>
    <row r="143" spans="1:16" ht="14.25" customHeight="1">
      <c r="A143" s="100"/>
      <c r="B143" s="124"/>
      <c r="C143" s="26" t="s">
        <v>257</v>
      </c>
      <c r="D143" s="34"/>
      <c r="E143" s="25"/>
      <c r="F143" s="92"/>
      <c r="G143" s="201" t="s">
        <v>22</v>
      </c>
      <c r="H143" s="201"/>
      <c r="I143" s="88"/>
      <c r="J143" s="25"/>
      <c r="K143" s="92"/>
      <c r="L143" s="25" t="s">
        <v>14</v>
      </c>
      <c r="M143" s="34">
        <v>25</v>
      </c>
      <c r="N143" s="25" t="s">
        <v>248</v>
      </c>
      <c r="O143" s="95"/>
      <c r="P143" s="100"/>
    </row>
    <row r="144" spans="1:16" ht="14.25" customHeight="1">
      <c r="A144" s="100"/>
      <c r="B144" s="124"/>
      <c r="C144" s="25" t="s">
        <v>131</v>
      </c>
      <c r="D144" s="32">
        <f>D127</f>
        <v>5.005538461538462</v>
      </c>
      <c r="E144" s="25" t="s">
        <v>15</v>
      </c>
      <c r="F144" s="92"/>
      <c r="G144" s="25" t="s">
        <v>254</v>
      </c>
      <c r="H144" s="32">
        <f>PI()^2*D139*1000*M137*1.25*D35/((D16*1000)^2*H141*1000)</f>
        <v>3.943769082234801</v>
      </c>
      <c r="I144" s="32">
        <f>PI()^2*D139*1000*M137*1.25*D35/((D16*1000)^2*I141*1000)</f>
        <v>2.6291793881565337</v>
      </c>
      <c r="J144" s="25"/>
      <c r="K144" s="92"/>
      <c r="L144" s="25" t="s">
        <v>249</v>
      </c>
      <c r="M144" s="34">
        <f>IF(D30="C24",3.5,IF(D30="C30",3.8,IF(D30="GL24h",3.8,IF(D30="GL28h",4.1,))))</f>
        <v>3.5</v>
      </c>
      <c r="N144" s="25" t="s">
        <v>248</v>
      </c>
      <c r="O144" s="95"/>
      <c r="P144" s="100"/>
    </row>
    <row r="145" spans="1:16" ht="14.25" customHeight="1">
      <c r="A145" s="100"/>
      <c r="B145" s="124"/>
      <c r="C145" s="25" t="s">
        <v>132</v>
      </c>
      <c r="D145" s="32">
        <f>M129/H150*H145*D141*M137*H149*D35</f>
        <v>4.707359544213018</v>
      </c>
      <c r="E145" s="25" t="s">
        <v>15</v>
      </c>
      <c r="F145" s="92"/>
      <c r="G145" s="25" t="s">
        <v>255</v>
      </c>
      <c r="H145" s="32">
        <f>1/(1+H144)</f>
        <v>0.20227481975107867</v>
      </c>
      <c r="I145" s="32">
        <f>1/(1+I144)</f>
        <v>0.27554438429343026</v>
      </c>
      <c r="J145" s="25"/>
      <c r="K145" s="92"/>
      <c r="L145" s="25" t="s">
        <v>128</v>
      </c>
      <c r="M145" s="87">
        <f>IF(D31="C20/25",-11.3,IF(D31="C25/30",-14.2,IF(D31="C30/37",-17,0)))</f>
        <v>-11.3</v>
      </c>
      <c r="N145" s="25" t="s">
        <v>135</v>
      </c>
      <c r="O145" s="95"/>
      <c r="P145" s="100"/>
    </row>
    <row r="146" spans="1:16" ht="14.25" customHeight="1">
      <c r="A146" s="100"/>
      <c r="B146" s="124"/>
      <c r="C146" s="92"/>
      <c r="D146" s="137"/>
      <c r="E146" s="92"/>
      <c r="F146" s="92"/>
      <c r="G146" s="92"/>
      <c r="H146" s="138"/>
      <c r="I146" s="132"/>
      <c r="J146" s="92"/>
      <c r="K146" s="92"/>
      <c r="L146" s="25" t="s">
        <v>129</v>
      </c>
      <c r="M146" s="87">
        <f>IF(D30="C24",24,IF(D30="C30",30,IF(D30="GL24h",24,IF(D30="GL28h",28,))))*0.8/1.3</f>
        <v>14.76923076923077</v>
      </c>
      <c r="N146" s="25" t="s">
        <v>135</v>
      </c>
      <c r="O146" s="95"/>
      <c r="P146" s="100"/>
    </row>
    <row r="147" spans="1:16" ht="14.25" customHeight="1">
      <c r="A147" s="100"/>
      <c r="B147" s="124"/>
      <c r="C147" s="92"/>
      <c r="D147" s="201" t="s">
        <v>64</v>
      </c>
      <c r="E147" s="201"/>
      <c r="F147" s="201"/>
      <c r="G147" s="201"/>
      <c r="H147" s="88"/>
      <c r="I147" s="32"/>
      <c r="J147" s="25"/>
      <c r="K147" s="92"/>
      <c r="L147" s="25" t="s">
        <v>130</v>
      </c>
      <c r="M147" s="34">
        <f>IF(D30="C24",2,IF(D30="C30",2,IF(D30="GL24h",2.5,IF(D30="GL28h",2.5,))))*0.8/1.3</f>
        <v>1.2307692307692308</v>
      </c>
      <c r="N147" s="25" t="s">
        <v>135</v>
      </c>
      <c r="O147" s="95"/>
      <c r="P147" s="100"/>
    </row>
    <row r="148" spans="1:16" ht="14.25" customHeight="1">
      <c r="A148" s="100"/>
      <c r="B148" s="124"/>
      <c r="C148" s="132"/>
      <c r="D148" s="200" t="s">
        <v>23</v>
      </c>
      <c r="E148" s="200"/>
      <c r="F148" s="200"/>
      <c r="G148" s="200"/>
      <c r="H148" s="32">
        <f>H145*D141*M137*(0.5756*D17*10+D19*10/2)/(D141*H145*M137+M134)</f>
        <v>11.680013926792643</v>
      </c>
      <c r="I148" s="32">
        <f>I145*D141*M137*(0.5756*D17*10+D19*10/2)/(D141*I145*M137+M134)</f>
        <v>15.417055865053303</v>
      </c>
      <c r="J148" s="25" t="s">
        <v>25</v>
      </c>
      <c r="K148" s="92"/>
      <c r="L148" s="92"/>
      <c r="M148" s="93"/>
      <c r="N148" s="92"/>
      <c r="O148" s="95"/>
      <c r="P148" s="100"/>
    </row>
    <row r="149" spans="1:16" ht="14.25" customHeight="1">
      <c r="A149" s="100"/>
      <c r="B149" s="124"/>
      <c r="C149" s="92"/>
      <c r="D149" s="200" t="s">
        <v>24</v>
      </c>
      <c r="E149" s="200"/>
      <c r="F149" s="200"/>
      <c r="G149" s="200"/>
      <c r="H149" s="32">
        <f>0.5756*D17*10+D19*10/2-H148</f>
        <v>120.41598607320736</v>
      </c>
      <c r="I149" s="32">
        <f>0.5756*D17*10+D19*10/2-I148</f>
        <v>116.6789441349467</v>
      </c>
      <c r="J149" s="25" t="s">
        <v>25</v>
      </c>
      <c r="K149" s="92"/>
      <c r="L149" s="92" t="s">
        <v>222</v>
      </c>
      <c r="M149" s="133"/>
      <c r="N149" s="92"/>
      <c r="O149" s="95"/>
      <c r="P149" s="100"/>
    </row>
    <row r="150" spans="1:16" ht="14.25" customHeight="1">
      <c r="A150" s="100"/>
      <c r="B150" s="124"/>
      <c r="C150" s="92"/>
      <c r="D150" s="200" t="s">
        <v>65</v>
      </c>
      <c r="E150" s="200"/>
      <c r="F150" s="200"/>
      <c r="G150" s="200"/>
      <c r="H150" s="89">
        <f>M138+M134*H148^2+D141*M139+D141*H145*M137*H149^2</f>
        <v>144416940.51299188</v>
      </c>
      <c r="I150" s="89">
        <f>M138+M134*I148^2+D141*M139+D141*I145*M137*I149^2</f>
        <v>164267716.15736055</v>
      </c>
      <c r="J150" s="25" t="s">
        <v>246</v>
      </c>
      <c r="K150" s="92"/>
      <c r="L150" s="92" t="s">
        <v>250</v>
      </c>
      <c r="M150" s="133"/>
      <c r="N150" s="92"/>
      <c r="O150" s="95"/>
      <c r="P150" s="100"/>
    </row>
    <row r="151" spans="1:16" ht="14.25" customHeight="1">
      <c r="A151" s="100"/>
      <c r="B151" s="124"/>
      <c r="C151" s="92"/>
      <c r="D151" s="31"/>
      <c r="E151" s="31"/>
      <c r="F151" s="31"/>
      <c r="G151" s="31"/>
      <c r="H151" s="89"/>
      <c r="I151" s="89"/>
      <c r="J151" s="25"/>
      <c r="K151" s="92"/>
      <c r="L151" s="92"/>
      <c r="M151" s="133"/>
      <c r="N151" s="92"/>
      <c r="O151" s="95"/>
      <c r="P151" s="100"/>
    </row>
    <row r="152" spans="1:16" ht="14.25" customHeight="1">
      <c r="A152" s="100"/>
      <c r="B152" s="124"/>
      <c r="C152" s="92"/>
      <c r="D152" s="31"/>
      <c r="E152" s="31"/>
      <c r="F152" s="31"/>
      <c r="G152" s="31"/>
      <c r="H152" s="89"/>
      <c r="I152" s="89"/>
      <c r="J152" s="25"/>
      <c r="K152" s="92"/>
      <c r="L152" s="92"/>
      <c r="M152" s="133"/>
      <c r="N152" s="92"/>
      <c r="O152" s="95"/>
      <c r="P152" s="100"/>
    </row>
    <row r="153" spans="1:16" ht="14.25" customHeight="1">
      <c r="A153" s="100"/>
      <c r="B153" s="126"/>
      <c r="C153" s="131"/>
      <c r="D153" s="136"/>
      <c r="E153" s="131"/>
      <c r="F153" s="131"/>
      <c r="G153" s="131"/>
      <c r="H153" s="131"/>
      <c r="I153" s="131"/>
      <c r="J153" s="131"/>
      <c r="K153" s="131"/>
      <c r="L153" s="131"/>
      <c r="M153" s="134"/>
      <c r="N153" s="131"/>
      <c r="O153" s="135"/>
      <c r="P153" s="100"/>
    </row>
    <row r="154" spans="1:16" ht="14.25" customHeight="1">
      <c r="A154" s="100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0"/>
    </row>
    <row r="155" spans="1:16" ht="14.25" customHeight="1">
      <c r="A155" s="100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0"/>
    </row>
    <row r="156" spans="1:16" ht="14.25" customHeight="1">
      <c r="A156" s="100"/>
      <c r="B156" s="141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3"/>
      <c r="P156" s="100"/>
    </row>
    <row r="157" spans="1:16" ht="14.25" customHeight="1">
      <c r="A157" s="100"/>
      <c r="B157" s="157"/>
      <c r="C157" s="100"/>
      <c r="D157" s="100"/>
      <c r="E157" s="100"/>
      <c r="F157" s="100"/>
      <c r="G157" s="100"/>
      <c r="H157" s="100"/>
      <c r="I157" s="100"/>
      <c r="J157" s="100"/>
      <c r="K157" s="100"/>
      <c r="L157" s="92"/>
      <c r="M157" s="92"/>
      <c r="N157" s="92"/>
      <c r="O157" s="95"/>
      <c r="P157" s="100"/>
    </row>
    <row r="158" spans="1:16" ht="14.25" customHeight="1">
      <c r="A158" s="100"/>
      <c r="B158" s="157"/>
      <c r="C158" s="100"/>
      <c r="D158" s="100"/>
      <c r="E158" s="100"/>
      <c r="F158" s="216" t="s">
        <v>258</v>
      </c>
      <c r="G158" s="216"/>
      <c r="H158" s="216"/>
      <c r="I158" s="216"/>
      <c r="J158" s="216"/>
      <c r="K158" s="216"/>
      <c r="L158" s="216"/>
      <c r="M158" s="213" t="str">
        <f>M9</f>
        <v>Typ 222</v>
      </c>
      <c r="N158" s="92"/>
      <c r="O158" s="95"/>
      <c r="P158" s="100"/>
    </row>
    <row r="159" spans="1:16" ht="14.25" customHeight="1">
      <c r="A159" s="100"/>
      <c r="B159" s="140"/>
      <c r="C159" s="92"/>
      <c r="D159" s="92"/>
      <c r="E159" s="92"/>
      <c r="F159" s="216"/>
      <c r="G159" s="216"/>
      <c r="H159" s="216"/>
      <c r="I159" s="216"/>
      <c r="J159" s="216"/>
      <c r="K159" s="216"/>
      <c r="L159" s="216"/>
      <c r="M159" s="213"/>
      <c r="N159" s="92"/>
      <c r="O159" s="95"/>
      <c r="P159" s="100"/>
    </row>
    <row r="160" spans="1:16" ht="14.25" customHeight="1">
      <c r="A160" s="100"/>
      <c r="B160" s="144"/>
      <c r="C160" s="145"/>
      <c r="D160" s="146"/>
      <c r="E160" s="146"/>
      <c r="F160" s="147"/>
      <c r="G160" s="147"/>
      <c r="H160" s="145"/>
      <c r="I160" s="146"/>
      <c r="J160" s="146"/>
      <c r="K160" s="146"/>
      <c r="L160" s="92"/>
      <c r="M160" s="92"/>
      <c r="N160" s="92"/>
      <c r="O160" s="95"/>
      <c r="P160" s="100"/>
    </row>
    <row r="161" spans="1:16" ht="14.25" customHeight="1">
      <c r="A161" s="100"/>
      <c r="B161" s="140"/>
      <c r="C161" s="93"/>
      <c r="D161" s="92"/>
      <c r="E161" s="92"/>
      <c r="F161" s="94"/>
      <c r="G161" s="94"/>
      <c r="H161" s="93"/>
      <c r="I161" s="92"/>
      <c r="J161" s="92"/>
      <c r="K161" s="92"/>
      <c r="L161" s="92"/>
      <c r="M161" s="92"/>
      <c r="N161" s="92"/>
      <c r="O161" s="95"/>
      <c r="P161" s="100"/>
    </row>
    <row r="162" spans="1:16" ht="14.25" customHeight="1">
      <c r="A162" s="100"/>
      <c r="B162" s="140"/>
      <c r="D162" s="156"/>
      <c r="E162" s="156"/>
      <c r="F162" s="92" t="s">
        <v>259</v>
      </c>
      <c r="G162" s="156"/>
      <c r="H162" s="156"/>
      <c r="I162" s="156"/>
      <c r="J162" s="156"/>
      <c r="K162" s="156"/>
      <c r="L162" s="92"/>
      <c r="M162" s="92"/>
      <c r="N162" s="92"/>
      <c r="O162" s="95"/>
      <c r="P162" s="100"/>
    </row>
    <row r="163" spans="1:16" ht="14.25" customHeight="1">
      <c r="A163" s="100"/>
      <c r="B163" s="149"/>
      <c r="C163" s="156"/>
      <c r="D163" s="156"/>
      <c r="E163" s="156"/>
      <c r="F163" s="94" t="s">
        <v>260</v>
      </c>
      <c r="G163" s="156"/>
      <c r="H163" s="156"/>
      <c r="I163" s="156"/>
      <c r="J163" s="156"/>
      <c r="K163" s="156"/>
      <c r="L163" s="92"/>
      <c r="M163" s="92"/>
      <c r="N163" s="92"/>
      <c r="O163" s="95"/>
      <c r="P163" s="100"/>
    </row>
    <row r="164" spans="1:16" ht="14.25" customHeight="1">
      <c r="A164" s="100"/>
      <c r="B164" s="140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5"/>
      <c r="P164" s="100"/>
    </row>
    <row r="165" spans="1:16" ht="14.25" customHeight="1">
      <c r="A165" s="100"/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92"/>
      <c r="M165" s="92"/>
      <c r="N165" s="92"/>
      <c r="O165" s="95"/>
      <c r="P165" s="100"/>
    </row>
    <row r="166" spans="1:16" ht="14.25" customHeight="1">
      <c r="A166" s="100"/>
      <c r="B166" s="140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5"/>
      <c r="P166" s="100"/>
    </row>
    <row r="167" spans="1:16" ht="14.25" customHeight="1">
      <c r="A167" s="100"/>
      <c r="B167" s="140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5"/>
      <c r="P167" s="100"/>
    </row>
    <row r="168" spans="1:16" ht="14.25" customHeight="1">
      <c r="A168" s="100"/>
      <c r="B168" s="144"/>
      <c r="C168" s="132"/>
      <c r="D168" s="132"/>
      <c r="E168" s="217" t="s">
        <v>54</v>
      </c>
      <c r="F168" s="217"/>
      <c r="G168" s="217"/>
      <c r="H168" s="217"/>
      <c r="I168" s="150">
        <f>E53</f>
        <v>1</v>
      </c>
      <c r="J168" s="132"/>
      <c r="K168" s="132"/>
      <c r="L168" s="92"/>
      <c r="M168" s="92"/>
      <c r="N168" s="92"/>
      <c r="O168" s="95"/>
      <c r="P168" s="100"/>
    </row>
    <row r="169" spans="1:16" ht="14.25" customHeight="1">
      <c r="A169" s="100"/>
      <c r="B169" s="140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5"/>
      <c r="P169" s="100"/>
    </row>
    <row r="170" spans="1:16" ht="14.25" customHeight="1">
      <c r="A170" s="100"/>
      <c r="B170" s="140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5"/>
      <c r="P170" s="100"/>
    </row>
    <row r="171" spans="1:16" ht="14.25" customHeight="1">
      <c r="A171" s="100"/>
      <c r="B171" s="140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5"/>
      <c r="P171" s="100"/>
    </row>
    <row r="172" spans="1:16" ht="14.25" customHeight="1">
      <c r="A172" s="100"/>
      <c r="B172" s="144"/>
      <c r="C172" s="153" t="s">
        <v>51</v>
      </c>
      <c r="D172" s="158">
        <f>D46</f>
        <v>320</v>
      </c>
      <c r="E172" s="10"/>
      <c r="F172" s="159"/>
      <c r="G172" s="153" t="s">
        <v>51</v>
      </c>
      <c r="H172" s="158">
        <f>H46</f>
        <v>320</v>
      </c>
      <c r="J172" s="153" t="s">
        <v>51</v>
      </c>
      <c r="K172" s="158">
        <f>K46</f>
        <v>320</v>
      </c>
      <c r="L172" s="153" t="s">
        <v>51</v>
      </c>
      <c r="M172" s="158">
        <f>M46</f>
        <v>320</v>
      </c>
      <c r="N172" s="92"/>
      <c r="O172" s="95"/>
      <c r="P172" s="100"/>
    </row>
    <row r="173" spans="1:16" ht="14.25" customHeight="1">
      <c r="A173" s="100"/>
      <c r="B173" s="140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5"/>
      <c r="P173" s="100"/>
    </row>
    <row r="174" spans="1:16" ht="14.25" customHeight="1">
      <c r="A174" s="100"/>
      <c r="B174" s="154"/>
      <c r="C174" s="160">
        <f>C47*100</f>
        <v>125</v>
      </c>
      <c r="D174" s="158" t="s">
        <v>2</v>
      </c>
      <c r="E174" s="100"/>
      <c r="G174" s="160">
        <f>G47*100</f>
        <v>125</v>
      </c>
      <c r="H174" s="158" t="s">
        <v>2</v>
      </c>
      <c r="J174" s="160">
        <f>J47*100</f>
        <v>125</v>
      </c>
      <c r="K174" s="158" t="s">
        <v>2</v>
      </c>
      <c r="L174" s="160">
        <f>L47*100</f>
        <v>125</v>
      </c>
      <c r="M174" s="158" t="s">
        <v>2</v>
      </c>
      <c r="N174" s="92"/>
      <c r="O174" s="95"/>
      <c r="P174" s="100"/>
    </row>
    <row r="175" spans="1:16" ht="14.25" customHeight="1">
      <c r="A175" s="100"/>
      <c r="B175" s="140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5"/>
      <c r="P175" s="100"/>
    </row>
    <row r="176" spans="1:16" ht="14.25" customHeight="1">
      <c r="A176" s="100"/>
      <c r="B176" s="140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5"/>
      <c r="P176" s="100"/>
    </row>
    <row r="177" spans="1:16" ht="14.25" customHeight="1">
      <c r="A177" s="100"/>
      <c r="B177" s="144"/>
      <c r="C177" s="132"/>
      <c r="D177" s="132"/>
      <c r="E177" s="132"/>
      <c r="F177" s="100"/>
      <c r="H177" s="133">
        <f>I49*100</f>
        <v>500</v>
      </c>
      <c r="I177" s="132" t="s">
        <v>2</v>
      </c>
      <c r="J177" s="132"/>
      <c r="K177" s="132"/>
      <c r="L177" s="92"/>
      <c r="M177" s="92"/>
      <c r="N177" s="92"/>
      <c r="O177" s="95"/>
      <c r="P177" s="100"/>
    </row>
    <row r="178" spans="1:16" ht="14.25" customHeight="1">
      <c r="A178" s="100"/>
      <c r="B178" s="140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5"/>
      <c r="P178" s="100"/>
    </row>
    <row r="179" spans="1:16" ht="14.25" customHeight="1">
      <c r="A179" s="100"/>
      <c r="B179" s="140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5"/>
      <c r="P179" s="100"/>
    </row>
    <row r="180" spans="1:16" ht="14.25" customHeight="1">
      <c r="A180" s="100"/>
      <c r="B180" s="157"/>
      <c r="C180" s="132" t="s">
        <v>91</v>
      </c>
      <c r="D180" s="92"/>
      <c r="E180" s="92"/>
      <c r="F180" s="92"/>
      <c r="G180" s="92"/>
      <c r="H180" s="92"/>
      <c r="I180" s="132" t="s">
        <v>92</v>
      </c>
      <c r="J180" s="152"/>
      <c r="K180" s="152"/>
      <c r="L180" s="152"/>
      <c r="M180" s="92"/>
      <c r="N180" s="92"/>
      <c r="O180" s="95"/>
      <c r="P180" s="100"/>
    </row>
    <row r="181" spans="1:16" ht="14.25" customHeight="1">
      <c r="A181" s="100"/>
      <c r="B181" s="157"/>
      <c r="C181" s="200" t="s">
        <v>49</v>
      </c>
      <c r="D181" s="200"/>
      <c r="E181" s="25"/>
      <c r="F181" s="25">
        <f>I168</f>
        <v>1</v>
      </c>
      <c r="G181" s="25"/>
      <c r="H181" s="92"/>
      <c r="I181" s="92" t="str">
        <f>IF(F184&gt;0,"Der Mindestabstand quer zur Tragrichtung zwischen"," ")</f>
        <v>Der Mindestabstand quer zur Tragrichtung zwischen</v>
      </c>
      <c r="J181" s="92"/>
      <c r="K181" s="92"/>
      <c r="L181" s="92"/>
      <c r="M181" s="92"/>
      <c r="N181" s="92"/>
      <c r="O181" s="95"/>
      <c r="P181" s="100"/>
    </row>
    <row r="182" spans="1:16" ht="14.25" customHeight="1">
      <c r="A182" s="100"/>
      <c r="B182" s="157"/>
      <c r="C182" s="200" t="s">
        <v>44</v>
      </c>
      <c r="D182" s="200"/>
      <c r="E182" s="25"/>
      <c r="F182" s="162">
        <f>M172</f>
        <v>320</v>
      </c>
      <c r="G182" s="25" t="s">
        <v>25</v>
      </c>
      <c r="H182" s="92"/>
      <c r="I182" s="92" t="str">
        <f>IF(F184&gt;0,"den Reihen und den Balkenrändern beträgt  30 mm. "," ")</f>
        <v>den Reihen und den Balkenrändern beträgt  30 mm. </v>
      </c>
      <c r="J182" s="92"/>
      <c r="K182" s="92"/>
      <c r="L182" s="92"/>
      <c r="M182" s="92"/>
      <c r="N182" s="92"/>
      <c r="O182" s="95"/>
      <c r="P182" s="100"/>
    </row>
    <row r="183" spans="1:16" ht="14.25" customHeight="1">
      <c r="A183" s="100"/>
      <c r="B183" s="157"/>
      <c r="C183" s="200" t="s">
        <v>45</v>
      </c>
      <c r="D183" s="200"/>
      <c r="E183" s="25"/>
      <c r="F183" s="162">
        <f>K172</f>
        <v>320</v>
      </c>
      <c r="G183" s="25" t="s">
        <v>25</v>
      </c>
      <c r="H183" s="92"/>
      <c r="I183" s="92"/>
      <c r="J183" s="92"/>
      <c r="K183" s="92"/>
      <c r="L183" s="92"/>
      <c r="M183" s="92"/>
      <c r="N183" s="92"/>
      <c r="O183" s="95"/>
      <c r="P183" s="100"/>
    </row>
    <row r="184" spans="1:16" ht="14.25" customHeight="1">
      <c r="A184" s="100"/>
      <c r="B184" s="157"/>
      <c r="C184" s="200" t="s">
        <v>46</v>
      </c>
      <c r="D184" s="200"/>
      <c r="E184" s="25"/>
      <c r="F184" s="162">
        <f>E56</f>
        <v>12</v>
      </c>
      <c r="G184" s="25" t="s">
        <v>47</v>
      </c>
      <c r="H184" s="92"/>
      <c r="I184" s="92" t="str">
        <f>IF(F184=0,"Verteilung nicht möglich! ","Die Neigung der Verbundelemente beträgt 45°.")</f>
        <v>Die Neigung der Verbundelemente beträgt 45°.</v>
      </c>
      <c r="J184" s="92"/>
      <c r="K184" s="92"/>
      <c r="L184" s="92"/>
      <c r="M184" s="92"/>
      <c r="N184" s="92"/>
      <c r="O184" s="95"/>
      <c r="P184" s="100"/>
    </row>
    <row r="185" spans="1:16" ht="14.25" customHeight="1">
      <c r="A185" s="100"/>
      <c r="B185" s="157"/>
      <c r="C185" s="200" t="s">
        <v>245</v>
      </c>
      <c r="D185" s="200"/>
      <c r="E185" s="25"/>
      <c r="F185" s="163">
        <f>E57</f>
        <v>12</v>
      </c>
      <c r="G185" s="25" t="s">
        <v>47</v>
      </c>
      <c r="H185" s="92"/>
      <c r="I185" s="92" t="str">
        <f>IF(F184=0,"Mindestabstände sind nicht eingehalten."," ")</f>
        <v> </v>
      </c>
      <c r="J185" s="92"/>
      <c r="K185" s="92"/>
      <c r="L185" s="92"/>
      <c r="M185" s="92"/>
      <c r="N185" s="92"/>
      <c r="O185" s="95"/>
      <c r="P185" s="100"/>
    </row>
    <row r="186" spans="1:16" ht="14.25" customHeight="1">
      <c r="A186" s="100"/>
      <c r="B186" s="140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5"/>
      <c r="P186" s="100"/>
    </row>
    <row r="187" spans="1:16" ht="14.25" customHeight="1">
      <c r="A187" s="100"/>
      <c r="B187" s="140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5"/>
      <c r="P187" s="100"/>
    </row>
    <row r="188" spans="1:16" ht="14.25" customHeight="1">
      <c r="A188" s="100"/>
      <c r="B188" s="140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5"/>
      <c r="P188" s="100"/>
    </row>
    <row r="189" spans="1:16" ht="14.25" customHeight="1">
      <c r="A189" s="100"/>
      <c r="B189" s="144"/>
      <c r="C189" s="132" t="s">
        <v>93</v>
      </c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5"/>
      <c r="P189" s="100"/>
    </row>
    <row r="190" spans="1:16" ht="14.25" customHeight="1">
      <c r="A190" s="100"/>
      <c r="B190" s="151"/>
      <c r="C190" s="164" t="s">
        <v>79</v>
      </c>
      <c r="D190" s="214" t="str">
        <f>IF(H9="","",H9)</f>
        <v>Ort, Straße</v>
      </c>
      <c r="E190" s="214"/>
      <c r="F190" s="214"/>
      <c r="G190" s="214"/>
      <c r="H190" s="214"/>
      <c r="I190" s="70"/>
      <c r="J190" s="164" t="s">
        <v>94</v>
      </c>
      <c r="K190" s="215" t="str">
        <f>IF(M9="","",M9)</f>
        <v>Typ 222</v>
      </c>
      <c r="L190" s="215"/>
      <c r="M190" s="215"/>
      <c r="N190" s="215"/>
      <c r="O190" s="95"/>
      <c r="P190" s="100"/>
    </row>
    <row r="191" spans="1:16" ht="14.25" customHeight="1">
      <c r="A191" s="100"/>
      <c r="B191" s="151"/>
      <c r="C191" s="164" t="s">
        <v>95</v>
      </c>
      <c r="D191" s="211" t="str">
        <f>IF(M12="","",M12)</f>
        <v>Name</v>
      </c>
      <c r="E191" s="211"/>
      <c r="F191" s="211"/>
      <c r="G191" s="211"/>
      <c r="H191" s="211"/>
      <c r="I191" s="92"/>
      <c r="J191" s="164" t="s">
        <v>82</v>
      </c>
      <c r="K191" s="218">
        <f>IF(H12="","",H12)</f>
        <v>42549</v>
      </c>
      <c r="L191" s="218"/>
      <c r="M191" s="218"/>
      <c r="N191" s="218"/>
      <c r="O191" s="95"/>
      <c r="P191" s="100"/>
    </row>
    <row r="192" spans="1:16" ht="14.25" customHeight="1">
      <c r="A192" s="100"/>
      <c r="B192" s="151"/>
      <c r="C192" s="164"/>
      <c r="D192" s="165"/>
      <c r="E192" s="165"/>
      <c r="F192" s="165"/>
      <c r="G192" s="165"/>
      <c r="H192" s="165"/>
      <c r="I192" s="92"/>
      <c r="J192" s="164"/>
      <c r="K192" s="166"/>
      <c r="L192" s="166"/>
      <c r="M192" s="166"/>
      <c r="N192" s="166"/>
      <c r="O192" s="95"/>
      <c r="P192" s="100"/>
    </row>
    <row r="193" spans="1:16" ht="14.25" customHeight="1">
      <c r="A193" s="100"/>
      <c r="B193" s="155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5"/>
      <c r="P193" s="100"/>
    </row>
    <row r="194" spans="1:16" ht="14.25" customHeight="1">
      <c r="A194" s="100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0"/>
    </row>
    <row r="195" spans="2:15" ht="14.25" customHeight="1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2:15" ht="14.25" customHeight="1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2:15" ht="14.25" customHeight="1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2:15" ht="14.25" customHeight="1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2:15" ht="14.25" customHeight="1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2:15" ht="14.25" customHeight="1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2:15" ht="14.25" customHeight="1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2:15" ht="14.25" customHeight="1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2:15" ht="14.25" customHeight="1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2:15" ht="14.25" customHeight="1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2:15" ht="14.25" customHeight="1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2:15" ht="14.25" customHeight="1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2:15" ht="14.25" customHeight="1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2:15" ht="14.25" customHeight="1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2:15" ht="14.25" customHeight="1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2:14" ht="14.25" customHeight="1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</sheetData>
  <sheetProtection password="BB77" sheet="1" selectLockedCells="1"/>
  <mergeCells count="56">
    <mergeCell ref="H9:K9"/>
    <mergeCell ref="M9:N9"/>
    <mergeCell ref="C52:F52"/>
    <mergeCell ref="C15:E15"/>
    <mergeCell ref="C41:N41"/>
    <mergeCell ref="I55:M55"/>
    <mergeCell ref="G42:I42"/>
    <mergeCell ref="C53:D53"/>
    <mergeCell ref="C21:E21"/>
    <mergeCell ref="I54:M54"/>
    <mergeCell ref="G103:H103"/>
    <mergeCell ref="G27:H27"/>
    <mergeCell ref="G26:N26"/>
    <mergeCell ref="K191:N191"/>
    <mergeCell ref="G97:J97"/>
    <mergeCell ref="C29:E29"/>
    <mergeCell ref="C34:E34"/>
    <mergeCell ref="I56:M56"/>
    <mergeCell ref="C62:O62"/>
    <mergeCell ref="C57:D57"/>
    <mergeCell ref="D191:H191"/>
    <mergeCell ref="C136:J136"/>
    <mergeCell ref="M158:M159"/>
    <mergeCell ref="D190:H190"/>
    <mergeCell ref="K190:N190"/>
    <mergeCell ref="I122:J122"/>
    <mergeCell ref="F158:L159"/>
    <mergeCell ref="E168:H168"/>
    <mergeCell ref="C185:D185"/>
    <mergeCell ref="C184:D184"/>
    <mergeCell ref="C183:D183"/>
    <mergeCell ref="C182:D182"/>
    <mergeCell ref="C181:D181"/>
    <mergeCell ref="H12:K12"/>
    <mergeCell ref="M12:N12"/>
    <mergeCell ref="G15:N15"/>
    <mergeCell ref="G16:H16"/>
    <mergeCell ref="I139:J139"/>
    <mergeCell ref="D133:G133"/>
    <mergeCell ref="D132:G132"/>
    <mergeCell ref="D131:G131"/>
    <mergeCell ref="D130:G130"/>
    <mergeCell ref="I121:J121"/>
    <mergeCell ref="H85:K85"/>
    <mergeCell ref="M85:N85"/>
    <mergeCell ref="H87:K87"/>
    <mergeCell ref="M87:N87"/>
    <mergeCell ref="C119:J119"/>
    <mergeCell ref="L119:N119"/>
    <mergeCell ref="G99:H99"/>
    <mergeCell ref="D150:G150"/>
    <mergeCell ref="D149:G149"/>
    <mergeCell ref="D148:G148"/>
    <mergeCell ref="D147:G147"/>
    <mergeCell ref="G143:H143"/>
    <mergeCell ref="I138:J138"/>
  </mergeCells>
  <dataValidations count="17">
    <dataValidation type="decimal" allowBlank="1" showInputMessage="1" showErrorMessage="1" errorTitle="Fehleingabe" error="Für Spannweiten dieser Grösse ist dieses Programm nicht geeignet." sqref="D16">
      <formula1>0.5</formula1>
      <formula2>15</formula2>
    </dataValidation>
    <dataValidation type="list" allowBlank="1" showInputMessage="1" showErrorMessage="1" sqref="D30">
      <formula1>"C24,C30,GL24h,GL28h"</formula1>
    </dataValidation>
    <dataValidation type="list" allowBlank="1" showInputMessage="1" showErrorMessage="1" sqref="D31">
      <formula1>"C20/25,C25/30,C30/37"</formula1>
    </dataValidation>
    <dataValidation type="decimal" allowBlank="1" showInputMessage="1" showErrorMessage="1" errorTitle="Fehleingabe" error="Der maximale Abstand in Tragrichtung beträgt 320 mm." sqref="D35:D37">
      <formula1>0</formula1>
      <formula2>320</formula2>
    </dataValidation>
    <dataValidation type="list" allowBlank="1" showInputMessage="1" showErrorMessage="1" sqref="M23 M34">
      <formula1>"l/350,l/300,l/250,"</formula1>
    </dataValidation>
    <dataValidation errorStyle="warning" operator="lessThanOrEqual" allowBlank="1" showInputMessage="1" showErrorMessage="1" errorTitle="Warnung" error="Der Nachweis ist nicht erfüllt." sqref="M17 M28 M93 M107"/>
    <dataValidation errorStyle="warning" operator="lessThanOrEqual" allowBlank="1" showInputMessage="1" showErrorMessage="1" errorTitle="Achtung" error="Der Nachweis ist nicht erfüllt." sqref="M20 M31 M96"/>
    <dataValidation type="decimal" allowBlank="1" showInputMessage="1" showErrorMessage="1" errorTitle="Fehleingabe" error="Prüfen Sie bitte die Eingabe." sqref="D25:D26">
      <formula1>0</formula1>
      <formula2>20</formula2>
    </dataValidation>
    <dataValidation type="decimal" allowBlank="1" showInputMessage="1" showErrorMessage="1" errorTitle="Fehler" error="Korrigieren Sie den Wert in %." sqref="D27">
      <formula1>0</formula1>
      <formula2>100</formula2>
    </dataValidation>
    <dataValidation type="decimal" allowBlank="1" showInputMessage="1" showErrorMessage="1" errorTitle="Fehler" error="Korrigieren Sie bitte den Wert in %." sqref="D32:D33">
      <formula1>0</formula1>
      <formula2>300</formula2>
    </dataValidation>
    <dataValidation type="decimal" operator="greaterThan" allowBlank="1" showInputMessage="1" showErrorMessage="1" sqref="D17">
      <formula1>5</formula1>
    </dataValidation>
    <dataValidation type="decimal" operator="greaterThanOrEqual" allowBlank="1" showInputMessage="1" showErrorMessage="1" errorTitle="Fehleingabe" error="Die Betonplatte muss mindestens 6cm stark sein." sqref="D19">
      <formula1>6</formula1>
    </dataValidation>
    <dataValidation type="list" allowBlank="1" showInputMessage="1" showErrorMessage="1" sqref="M103">
      <formula1>"l/350,l/300,l/250,l/200"</formula1>
    </dataValidation>
    <dataValidation type="decimal" allowBlank="1" showInputMessage="1" showErrorMessage="1" errorTitle="Fehleingabe" error="Die Last ist zwischen 0.5 und 2.0 kN/m^2 zu wählen. Üblich ist 1.0 kN/m^2." sqref="J90">
      <formula1>0.5</formula1>
      <formula2>2</formula2>
    </dataValidation>
    <dataValidation type="decimal" allowBlank="1" showInputMessage="1" showErrorMessage="1" errorTitle="Fehleingabe" error="Für Spannweiten dieser Grössenordnung ist dieses Programm nicht geeignet." sqref="D91">
      <formula1>0.5</formula1>
      <formula2>15</formula2>
    </dataValidation>
    <dataValidation type="list" allowBlank="1" showInputMessage="1" showErrorMessage="1" sqref="M91">
      <formula1>"Nadelholz FK II,Brettschichtholz BSH B,Eiche/Buche"</formula1>
    </dataValidation>
    <dataValidation type="list" allowBlank="1" showInputMessage="1" showErrorMessage="1" sqref="D12">
      <formula1>"Ja,nein"</formula1>
    </dataValidation>
  </dataValidations>
  <printOptions/>
  <pageMargins left="0.5118110236220472" right="0.5118110236220472" top="0.4330708661417323" bottom="0.4330708661417323" header="0.31496062992125984" footer="0.31496062992125984"/>
  <pageSetup fitToHeight="5" horizontalDpi="300" verticalDpi="300" orientation="landscape" paperSize="9" scale="95" r:id="rId3"/>
  <rowBreaks count="4" manualBreakCount="4">
    <brk id="40" max="15" man="1"/>
    <brk id="74" max="255" man="1"/>
    <brk id="114" max="255" man="1"/>
    <brk id="154" max="255" man="1"/>
  </rowBreaks>
  <ignoredErrors>
    <ignoredError sqref="H85 H87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111"/>
  <sheetViews>
    <sheetView zoomScalePageLayoutView="0" workbookViewId="0" topLeftCell="A1">
      <selection activeCell="I109" sqref="I109"/>
    </sheetView>
  </sheetViews>
  <sheetFormatPr defaultColWidth="11.421875" defaultRowHeight="12.75"/>
  <cols>
    <col min="1" max="1" width="41.28125" style="14" customWidth="1"/>
    <col min="2" max="2" width="11.421875" style="13" customWidth="1"/>
  </cols>
  <sheetData>
    <row r="1" ht="21">
      <c r="A1" s="12" t="s">
        <v>136</v>
      </c>
    </row>
    <row r="2" ht="21">
      <c r="A2" s="12" t="s">
        <v>219</v>
      </c>
    </row>
    <row r="4" ht="18.75">
      <c r="A4" s="15" t="s">
        <v>137</v>
      </c>
    </row>
    <row r="5" ht="18.75">
      <c r="A5" s="15"/>
    </row>
    <row r="6" spans="1:2" ht="20.25">
      <c r="A6" s="14" t="s">
        <v>138</v>
      </c>
      <c r="B6" s="13" t="s">
        <v>224</v>
      </c>
    </row>
    <row r="7" ht="18.75">
      <c r="A7" s="15"/>
    </row>
    <row r="8" spans="1:2" ht="20.25">
      <c r="A8" s="14" t="s">
        <v>7</v>
      </c>
      <c r="B8" s="13" t="s">
        <v>223</v>
      </c>
    </row>
    <row r="10" ht="18.75">
      <c r="A10" s="15" t="s">
        <v>139</v>
      </c>
    </row>
    <row r="12" spans="1:2" ht="20.25">
      <c r="A12" s="16" t="s">
        <v>234</v>
      </c>
      <c r="B12" s="13" t="s">
        <v>235</v>
      </c>
    </row>
    <row r="14" spans="1:2" ht="20.25">
      <c r="A14" s="14" t="s">
        <v>140</v>
      </c>
      <c r="B14" s="13" t="s">
        <v>141</v>
      </c>
    </row>
    <row r="16" spans="1:2" ht="20.25">
      <c r="A16" s="14" t="s">
        <v>142</v>
      </c>
      <c r="B16" s="13" t="s">
        <v>143</v>
      </c>
    </row>
    <row r="18" ht="18.75">
      <c r="A18" s="15" t="s">
        <v>144</v>
      </c>
    </row>
    <row r="19" ht="95.25">
      <c r="A19" s="16" t="s">
        <v>145</v>
      </c>
    </row>
    <row r="20" ht="18.75">
      <c r="A20" s="16"/>
    </row>
    <row r="21" ht="79.5">
      <c r="A21" s="16" t="s">
        <v>146</v>
      </c>
    </row>
    <row r="22" ht="18.75">
      <c r="A22" s="16"/>
    </row>
    <row r="23" spans="1:2" ht="80.25">
      <c r="A23" s="16" t="s">
        <v>147</v>
      </c>
      <c r="B23" s="13" t="s">
        <v>148</v>
      </c>
    </row>
    <row r="25" spans="1:3" s="18" customFormat="1" ht="64.5">
      <c r="A25" s="16" t="s">
        <v>149</v>
      </c>
      <c r="B25" s="13" t="s">
        <v>206</v>
      </c>
      <c r="C25" s="17"/>
    </row>
    <row r="27" spans="1:3" s="18" customFormat="1" ht="64.5">
      <c r="A27" s="16" t="s">
        <v>150</v>
      </c>
      <c r="B27" s="13" t="s">
        <v>151</v>
      </c>
      <c r="C27" s="17"/>
    </row>
    <row r="28" spans="1:3" s="18" customFormat="1" ht="18.75">
      <c r="A28" s="16"/>
      <c r="B28" s="13"/>
      <c r="C28" s="17"/>
    </row>
    <row r="29" spans="1:3" s="18" customFormat="1" ht="64.5">
      <c r="A29" s="16" t="s">
        <v>152</v>
      </c>
      <c r="B29" s="13" t="s">
        <v>207</v>
      </c>
      <c r="C29" s="17"/>
    </row>
    <row r="31" spans="1:3" s="18" customFormat="1" ht="64.5">
      <c r="A31" s="16" t="s">
        <v>153</v>
      </c>
      <c r="B31" s="13" t="s">
        <v>208</v>
      </c>
      <c r="C31" s="17"/>
    </row>
    <row r="32" spans="1:3" s="18" customFormat="1" ht="18.75">
      <c r="A32" s="16"/>
      <c r="B32" s="13"/>
      <c r="C32" s="17"/>
    </row>
    <row r="33" spans="1:2" ht="33">
      <c r="A33" s="16" t="s">
        <v>154</v>
      </c>
      <c r="B33" s="13" t="s">
        <v>155</v>
      </c>
    </row>
    <row r="35" spans="1:2" ht="21.75">
      <c r="A35" s="14" t="s">
        <v>156</v>
      </c>
      <c r="B35" s="13" t="s">
        <v>225</v>
      </c>
    </row>
    <row r="37" spans="1:2" ht="20.25">
      <c r="A37" s="14" t="s">
        <v>157</v>
      </c>
      <c r="B37" s="13" t="s">
        <v>158</v>
      </c>
    </row>
    <row r="39" spans="1:2" ht="20.25">
      <c r="A39" s="14" t="s">
        <v>159</v>
      </c>
      <c r="B39" s="13" t="s">
        <v>160</v>
      </c>
    </row>
    <row r="41" spans="1:2" ht="20.25">
      <c r="A41" s="16" t="s">
        <v>209</v>
      </c>
      <c r="B41" s="13" t="s">
        <v>210</v>
      </c>
    </row>
    <row r="42" ht="20.25">
      <c r="B42" s="13" t="s">
        <v>211</v>
      </c>
    </row>
    <row r="44" spans="1:2" ht="20.25">
      <c r="A44" s="16" t="s">
        <v>212</v>
      </c>
      <c r="B44" s="13" t="s">
        <v>213</v>
      </c>
    </row>
    <row r="45" ht="20.25">
      <c r="B45" s="13" t="s">
        <v>214</v>
      </c>
    </row>
    <row r="47" spans="1:2" ht="20.25">
      <c r="A47" s="16" t="s">
        <v>161</v>
      </c>
      <c r="B47" s="13" t="s">
        <v>162</v>
      </c>
    </row>
    <row r="48" ht="20.25">
      <c r="B48" s="13" t="s">
        <v>163</v>
      </c>
    </row>
    <row r="50" spans="1:2" ht="20.25">
      <c r="A50" s="16" t="s">
        <v>216</v>
      </c>
      <c r="B50" s="13" t="s">
        <v>164</v>
      </c>
    </row>
    <row r="51" ht="20.25">
      <c r="B51" s="13" t="s">
        <v>165</v>
      </c>
    </row>
    <row r="52" ht="20.25">
      <c r="B52" s="13" t="s">
        <v>166</v>
      </c>
    </row>
    <row r="53" ht="20.25">
      <c r="B53" s="13" t="s">
        <v>167</v>
      </c>
    </row>
    <row r="55" spans="1:2" ht="20.25">
      <c r="A55" s="16" t="s">
        <v>215</v>
      </c>
      <c r="B55" s="13" t="s">
        <v>168</v>
      </c>
    </row>
    <row r="56" ht="20.25">
      <c r="B56" s="13" t="s">
        <v>169</v>
      </c>
    </row>
    <row r="57" ht="20.25">
      <c r="B57" s="13" t="s">
        <v>170</v>
      </c>
    </row>
    <row r="58" ht="20.25">
      <c r="B58" s="13" t="s">
        <v>171</v>
      </c>
    </row>
    <row r="60" spans="1:2" ht="33">
      <c r="A60" s="16" t="s">
        <v>172</v>
      </c>
      <c r="B60" s="13" t="s">
        <v>226</v>
      </c>
    </row>
    <row r="61" ht="20.25">
      <c r="B61" s="13" t="s">
        <v>227</v>
      </c>
    </row>
    <row r="62" ht="20.25">
      <c r="B62" s="13" t="s">
        <v>228</v>
      </c>
    </row>
    <row r="63" ht="20.25">
      <c r="B63" s="13" t="s">
        <v>229</v>
      </c>
    </row>
    <row r="65" spans="1:2" ht="33">
      <c r="A65" s="16" t="s">
        <v>173</v>
      </c>
      <c r="B65" s="13" t="s">
        <v>230</v>
      </c>
    </row>
    <row r="66" ht="20.25">
      <c r="B66" s="13" t="s">
        <v>231</v>
      </c>
    </row>
    <row r="67" ht="20.25">
      <c r="B67" s="13" t="s">
        <v>232</v>
      </c>
    </row>
    <row r="68" ht="20.25">
      <c r="B68" s="13" t="s">
        <v>233</v>
      </c>
    </row>
    <row r="70" spans="1:2" ht="20.25">
      <c r="A70" s="14" t="s">
        <v>174</v>
      </c>
      <c r="B70" s="13" t="s">
        <v>175</v>
      </c>
    </row>
    <row r="71" ht="20.25">
      <c r="B71" s="13" t="s">
        <v>176</v>
      </c>
    </row>
    <row r="72" ht="20.25">
      <c r="B72" s="13" t="s">
        <v>177</v>
      </c>
    </row>
    <row r="73" ht="20.25">
      <c r="B73" s="13" t="s">
        <v>178</v>
      </c>
    </row>
    <row r="75" spans="1:2" ht="64.5">
      <c r="A75" s="16" t="s">
        <v>179</v>
      </c>
      <c r="B75" s="13" t="s">
        <v>180</v>
      </c>
    </row>
    <row r="76" ht="18.75">
      <c r="A76" s="16"/>
    </row>
    <row r="77" ht="18.75">
      <c r="A77" s="15" t="s">
        <v>181</v>
      </c>
    </row>
    <row r="78" spans="1:2" ht="20.25">
      <c r="A78" s="16" t="s">
        <v>182</v>
      </c>
      <c r="B78" s="13" t="s">
        <v>183</v>
      </c>
    </row>
    <row r="79" spans="1:2" ht="20.25">
      <c r="A79" s="16"/>
      <c r="B79" s="13" t="s">
        <v>184</v>
      </c>
    </row>
    <row r="80" ht="18.75">
      <c r="A80" s="16"/>
    </row>
    <row r="81" spans="1:2" ht="33">
      <c r="A81" s="16" t="s">
        <v>185</v>
      </c>
      <c r="B81" s="13" t="s">
        <v>218</v>
      </c>
    </row>
    <row r="82" ht="18.75">
      <c r="A82" s="16"/>
    </row>
    <row r="83" spans="1:2" ht="36">
      <c r="A83" s="16" t="s">
        <v>186</v>
      </c>
      <c r="B83" s="13" t="s">
        <v>217</v>
      </c>
    </row>
    <row r="84" ht="18.75">
      <c r="A84" s="16"/>
    </row>
    <row r="86" ht="18.75">
      <c r="A86" s="15" t="s">
        <v>187</v>
      </c>
    </row>
    <row r="88" spans="1:2" ht="20.25">
      <c r="A88" s="14" t="s">
        <v>188</v>
      </c>
      <c r="B88" s="13" t="s">
        <v>189</v>
      </c>
    </row>
    <row r="89" ht="20.25">
      <c r="B89" s="13" t="s">
        <v>190</v>
      </c>
    </row>
    <row r="91" spans="1:2" ht="20.25">
      <c r="A91" s="14" t="s">
        <v>191</v>
      </c>
      <c r="B91" s="13" t="s">
        <v>192</v>
      </c>
    </row>
    <row r="92" ht="20.25">
      <c r="B92" s="13" t="s">
        <v>193</v>
      </c>
    </row>
    <row r="95" ht="18.75">
      <c r="A95" s="15" t="s">
        <v>194</v>
      </c>
    </row>
    <row r="97" spans="1:2" ht="20.25">
      <c r="A97" s="14" t="s">
        <v>195</v>
      </c>
      <c r="B97" s="13" t="s">
        <v>196</v>
      </c>
    </row>
    <row r="98" spans="1:2" ht="20.25">
      <c r="A98" s="14" t="s">
        <v>197</v>
      </c>
      <c r="B98" s="13" t="s">
        <v>198</v>
      </c>
    </row>
    <row r="99" spans="1:2" ht="20.25">
      <c r="A99" s="14" t="s">
        <v>199</v>
      </c>
      <c r="B99" s="13" t="s">
        <v>200</v>
      </c>
    </row>
    <row r="100" ht="20.25">
      <c r="B100" s="13" t="s">
        <v>201</v>
      </c>
    </row>
    <row r="102" spans="1:2" ht="20.25">
      <c r="A102" s="14" t="s">
        <v>202</v>
      </c>
      <c r="B102" s="19" t="s">
        <v>236</v>
      </c>
    </row>
    <row r="103" spans="1:2" ht="20.25">
      <c r="A103" s="14" t="s">
        <v>197</v>
      </c>
      <c r="B103" s="19" t="s">
        <v>239</v>
      </c>
    </row>
    <row r="104" spans="1:2" ht="20.25">
      <c r="A104" s="14" t="s">
        <v>199</v>
      </c>
      <c r="B104" s="19" t="s">
        <v>237</v>
      </c>
    </row>
    <row r="105" ht="20.25">
      <c r="B105" s="19" t="s">
        <v>238</v>
      </c>
    </row>
    <row r="107" spans="1:2" ht="20.25">
      <c r="A107" s="14" t="s">
        <v>12</v>
      </c>
      <c r="B107" s="13" t="s">
        <v>203</v>
      </c>
    </row>
    <row r="110" ht="18.75">
      <c r="A110" s="15" t="s">
        <v>204</v>
      </c>
    </row>
    <row r="111" ht="21.75">
      <c r="B111" s="13" t="s">
        <v>205</v>
      </c>
    </row>
  </sheetData>
  <sheetProtection sheet="1" selectLockedCells="1"/>
  <printOptions/>
  <pageMargins left="0.5905511811023623" right="0.3937007874015748" top="0.5905511811023623" bottom="0.4724409448818898" header="0.3937007874015748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Klaus Schiermair</cp:lastModifiedBy>
  <cp:lastPrinted>2015-06-24T07:40:29Z</cp:lastPrinted>
  <dcterms:created xsi:type="dcterms:W3CDTF">2003-01-22T10:29:57Z</dcterms:created>
  <dcterms:modified xsi:type="dcterms:W3CDTF">2016-06-28T08:10:16Z</dcterms:modified>
  <cp:category/>
  <cp:version/>
  <cp:contentType/>
  <cp:contentStatus/>
</cp:coreProperties>
</file>